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ои документы\Стандарты раскрытия информации\2021 год\предложения о размере цен, тарифов\тех. присоединение\"/>
    </mc:Choice>
  </mc:AlternateContent>
  <xr:revisionPtr revIDLastSave="0" documentId="13_ncr:1_{C1EBEA47-A8EE-49A4-88CF-F15D580D0EC3}" xr6:coauthVersionLast="47" xr6:coauthVersionMax="47" xr10:uidLastSave="{00000000-0000-0000-0000-000000000000}"/>
  <bookViews>
    <workbookView xWindow="-120" yWindow="-120" windowWidth="29040" windowHeight="15840" tabRatio="785" xr2:uid="{00000000-000D-0000-FFFF-FFFF00000000}"/>
  </bookViews>
  <sheets>
    <sheet name="Строительство" sheetId="1" r:id="rId1"/>
    <sheet name="Организационные" sheetId="3" r:id="rId2"/>
    <sheet name="Смета" sheetId="4" r:id="rId3"/>
    <sheet name="ЛТП_до_15_кВт_город" sheetId="5" r:id="rId4"/>
    <sheet name="ЛТП_до_150_кВт_город" sheetId="8" r:id="rId5"/>
    <sheet name="Рассрочка" sheetId="7" r:id="rId6"/>
    <sheet name="Реестр договоров ТП 2018-2020" sheetId="10" r:id="rId7"/>
  </sheets>
  <definedNames>
    <definedName name="_xlnm._FilterDatabase" localSheetId="6" hidden="1">'Реестр договоров ТП 2018-2020'!$A$6:$R$41</definedName>
    <definedName name="_xlnm.Print_Titles" localSheetId="3">ЛТП_до_15_кВт_город!$3:$6</definedName>
    <definedName name="_xlnm.Print_Titles" localSheetId="4">ЛТП_до_150_кВт_город!$3:$6</definedName>
    <definedName name="_xlnm.Print_Titles" localSheetId="2">Смета!$4:$7</definedName>
    <definedName name="_xlnm.Print_Titles" localSheetId="0">Строительство!$3:$4</definedName>
    <definedName name="Категории">#REF!</definedName>
    <definedName name="_xlnm.Print_Area" localSheetId="3">ЛТП_до_15_кВт_город!$A$1:$H$217</definedName>
    <definedName name="_xlnm.Print_Area" localSheetId="4">ЛТП_до_150_кВт_город!$A$1:$H$204</definedName>
    <definedName name="_xlnm.Print_Area" localSheetId="1">Организационные!$A$1:$H$49</definedName>
    <definedName name="_xlnm.Print_Area" localSheetId="5">Рассрочка!$A$1:$T$39</definedName>
    <definedName name="_xlnm.Print_Area" localSheetId="6">'Реестр договоров ТП 2018-2020'!$A$1:$R$67</definedName>
    <definedName name="_xlnm.Print_Area" localSheetId="2">Смета!$A$1:$T$29</definedName>
    <definedName name="_xlnm.Print_Area" localSheetId="0">Строительство!$A$1:$Q$46</definedName>
    <definedName name="признак1j">#REF!</definedName>
    <definedName name="признак1k">#REF!</definedName>
    <definedName name="признак1l">#REF!</definedName>
    <definedName name="признак1m">#REF!</definedName>
    <definedName name="признак1n">#REF!</definedName>
    <definedName name="признак1o">#REF!</definedName>
    <definedName name="признак2j">#REF!</definedName>
    <definedName name="признак2k">#REF!</definedName>
    <definedName name="признак2l">#REF!</definedName>
    <definedName name="признак2m">#REF!</definedName>
    <definedName name="признак2n">#REF!</definedName>
    <definedName name="признак3j">#REF!</definedName>
    <definedName name="признак3k">#REF!</definedName>
    <definedName name="признак3l">#REF!</definedName>
    <definedName name="признак4j">#REF!</definedName>
    <definedName name="признак4k">#REF!</definedName>
    <definedName name="признак4l">#REF!</definedName>
    <definedName name="признак4m">#REF!</definedName>
    <definedName name="признак5j">#REF!</definedName>
    <definedName name="признак5k">#REF!</definedName>
    <definedName name="признак5l">#REF!</definedName>
    <definedName name="признак6j">#REF!</definedName>
    <definedName name="признак6k">#REF!</definedName>
    <definedName name="признак7j">#REF!</definedName>
    <definedName name="признак7k">#REF!</definedName>
    <definedName name="Уровни_1">#REF!</definedName>
    <definedName name="Уровни_2">#REF!</definedName>
    <definedName name="Уровни_3">#REF!</definedName>
    <definedName name="Уровни_4">#REF!</definedName>
    <definedName name="Уровни_5">#REF!</definedName>
    <definedName name="Уровни_6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5" i="4" l="1"/>
  <c r="X25" i="4" s="1"/>
  <c r="V23" i="4"/>
  <c r="X23" i="4" s="1"/>
  <c r="W23" i="4" s="1"/>
  <c r="V19" i="4"/>
  <c r="X19" i="4" s="1"/>
  <c r="V18" i="4"/>
  <c r="X18" i="4" s="1"/>
  <c r="V17" i="4"/>
  <c r="X17" i="4" s="1"/>
  <c r="V12" i="4"/>
  <c r="X12" i="4" s="1"/>
  <c r="V11" i="4"/>
  <c r="X11" i="4" s="1"/>
  <c r="V10" i="4"/>
  <c r="V9" i="4"/>
  <c r="X9" i="4" s="1"/>
  <c r="W25" i="4" l="1"/>
  <c r="Z23" i="4"/>
  <c r="Y23" i="4"/>
  <c r="W19" i="4"/>
  <c r="W18" i="4"/>
  <c r="W17" i="4"/>
  <c r="W12" i="4"/>
  <c r="W11" i="4"/>
  <c r="X10" i="4"/>
  <c r="W10" i="4" s="1"/>
  <c r="W9" i="4"/>
  <c r="Y9" i="4" s="1"/>
  <c r="Z25" i="4" l="1"/>
  <c r="Y25" i="4"/>
  <c r="Z19" i="4"/>
  <c r="Y19" i="4"/>
  <c r="Z18" i="4"/>
  <c r="Y18" i="4"/>
  <c r="Y17" i="4"/>
  <c r="Z17" i="4"/>
  <c r="Z12" i="4"/>
  <c r="Y12" i="4"/>
  <c r="Z11" i="4"/>
  <c r="Y11" i="4"/>
  <c r="Z10" i="4"/>
  <c r="Y10" i="4"/>
  <c r="Z9" i="4"/>
  <c r="Q57" i="10" l="1"/>
  <c r="P57" i="10"/>
  <c r="O57" i="10"/>
  <c r="N57" i="10"/>
  <c r="M57" i="10"/>
  <c r="J57" i="10"/>
  <c r="I57" i="10"/>
  <c r="Q50" i="10"/>
  <c r="P50" i="10"/>
  <c r="O50" i="10"/>
  <c r="N50" i="10"/>
  <c r="M50" i="10"/>
  <c r="J50" i="10"/>
  <c r="I50" i="10"/>
  <c r="Q43" i="10"/>
  <c r="P43" i="10"/>
  <c r="O43" i="10"/>
  <c r="N43" i="10"/>
  <c r="M43" i="10"/>
  <c r="J43" i="10"/>
  <c r="I43" i="10"/>
  <c r="Q36" i="10"/>
  <c r="P36" i="10"/>
  <c r="O36" i="10"/>
  <c r="N36" i="10"/>
  <c r="M36" i="10"/>
  <c r="J36" i="10"/>
  <c r="I36" i="10"/>
  <c r="Q15" i="10"/>
  <c r="P15" i="10"/>
  <c r="O15" i="10"/>
  <c r="N15" i="10"/>
  <c r="M15" i="10"/>
  <c r="J15" i="10"/>
  <c r="I15" i="10"/>
  <c r="Q9" i="10"/>
  <c r="P9" i="10"/>
  <c r="O9" i="10"/>
  <c r="N9" i="10"/>
  <c r="N8" i="10" s="1"/>
  <c r="M9" i="10"/>
  <c r="J9" i="10"/>
  <c r="I9" i="10"/>
  <c r="Q8" i="10" l="1"/>
  <c r="M8" i="10"/>
  <c r="J42" i="10"/>
  <c r="O8" i="10"/>
  <c r="L15" i="10"/>
  <c r="L36" i="10"/>
  <c r="I8" i="10"/>
  <c r="O42" i="10"/>
  <c r="L43" i="10"/>
  <c r="L57" i="10"/>
  <c r="L9" i="10"/>
  <c r="N42" i="10"/>
  <c r="L50" i="10"/>
  <c r="P42" i="10"/>
  <c r="I42" i="10"/>
  <c r="M42" i="10"/>
  <c r="Q42" i="10"/>
  <c r="J8" i="10"/>
  <c r="P8" i="10"/>
  <c r="L8" i="10" l="1"/>
  <c r="L42" i="10"/>
  <c r="G37" i="3" l="1"/>
  <c r="F37" i="3"/>
  <c r="E37" i="3"/>
  <c r="D37" i="3"/>
  <c r="G26" i="3"/>
  <c r="F26" i="3"/>
  <c r="E26" i="3"/>
  <c r="D26" i="3"/>
  <c r="G15" i="3"/>
  <c r="F15" i="3"/>
  <c r="E15" i="3"/>
  <c r="D15" i="3"/>
  <c r="D12" i="3"/>
  <c r="F34" i="3"/>
  <c r="D34" i="3"/>
  <c r="G30" i="3"/>
  <c r="F30" i="3"/>
  <c r="E30" i="3"/>
  <c r="D30" i="3"/>
  <c r="F23" i="3"/>
  <c r="D23" i="3"/>
  <c r="G19" i="3"/>
  <c r="F19" i="3"/>
  <c r="E19" i="3"/>
  <c r="D19" i="3"/>
  <c r="C45" i="3"/>
  <c r="H14" i="7"/>
  <c r="C202" i="8"/>
  <c r="C201" i="8"/>
  <c r="C200" i="8"/>
  <c r="C199" i="8"/>
  <c r="C198" i="8"/>
  <c r="C197" i="8"/>
  <c r="C196" i="8"/>
  <c r="C195" i="8"/>
  <c r="C194" i="8"/>
  <c r="C193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2" i="8"/>
  <c r="C171" i="8"/>
  <c r="C170" i="8"/>
  <c r="C169" i="8"/>
  <c r="C168" i="8"/>
  <c r="C167" i="8"/>
  <c r="C165" i="8"/>
  <c r="C164" i="8"/>
  <c r="C163" i="8"/>
  <c r="C162" i="8"/>
  <c r="C161" i="8"/>
  <c r="C160" i="8"/>
  <c r="C157" i="8"/>
  <c r="C156" i="8"/>
  <c r="C155" i="8"/>
  <c r="C154" i="8"/>
  <c r="C153" i="8"/>
  <c r="C152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5" i="8"/>
  <c r="C104" i="8"/>
  <c r="C103" i="8"/>
  <c r="C102" i="8"/>
  <c r="C101" i="8"/>
  <c r="C100" i="8"/>
  <c r="C99" i="8"/>
  <c r="C98" i="8"/>
  <c r="C97" i="8"/>
  <c r="C96" i="8"/>
  <c r="C95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4" i="8"/>
  <c r="C73" i="8"/>
  <c r="C72" i="8"/>
  <c r="C71" i="8"/>
  <c r="C70" i="8"/>
  <c r="C69" i="8"/>
  <c r="C67" i="8"/>
  <c r="C66" i="8"/>
  <c r="C65" i="8"/>
  <c r="C64" i="8"/>
  <c r="C63" i="8"/>
  <c r="C62" i="8"/>
  <c r="C59" i="8"/>
  <c r="C58" i="8"/>
  <c r="C57" i="8"/>
  <c r="C56" i="8"/>
  <c r="C55" i="8"/>
  <c r="C54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5" i="8"/>
  <c r="C34" i="8"/>
  <c r="C33" i="8"/>
  <c r="C32" i="8"/>
  <c r="C31" i="8"/>
  <c r="C30" i="8"/>
  <c r="C29" i="8"/>
  <c r="C28" i="8"/>
  <c r="C27" i="8"/>
  <c r="C26" i="8"/>
  <c r="C25" i="8"/>
  <c r="C24" i="8"/>
  <c r="C22" i="8"/>
  <c r="C21" i="8"/>
  <c r="C20" i="8"/>
  <c r="C19" i="8"/>
  <c r="C18" i="8"/>
  <c r="C17" i="8"/>
  <c r="C16" i="8"/>
  <c r="C15" i="8"/>
  <c r="C14" i="8"/>
  <c r="C13" i="8"/>
  <c r="C12" i="8"/>
  <c r="C11" i="8"/>
  <c r="C213" i="5"/>
  <c r="C212" i="5"/>
  <c r="C211" i="5"/>
  <c r="C209" i="5"/>
  <c r="C208" i="5"/>
  <c r="C207" i="5"/>
  <c r="C206" i="5"/>
  <c r="C205" i="5"/>
  <c r="C204" i="5"/>
  <c r="C203" i="5"/>
  <c r="C202" i="5"/>
  <c r="C201" i="5"/>
  <c r="C200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79" i="5"/>
  <c r="C178" i="5"/>
  <c r="C177" i="5"/>
  <c r="C176" i="5"/>
  <c r="C175" i="5"/>
  <c r="C174" i="5"/>
  <c r="C172" i="5"/>
  <c r="C171" i="5"/>
  <c r="C170" i="5"/>
  <c r="C169" i="5"/>
  <c r="C168" i="5"/>
  <c r="C167" i="5"/>
  <c r="C164" i="5"/>
  <c r="C163" i="5"/>
  <c r="C162" i="5"/>
  <c r="C161" i="5"/>
  <c r="C160" i="5"/>
  <c r="C159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2" i="5"/>
  <c r="C111" i="5"/>
  <c r="C110" i="5"/>
  <c r="C108" i="5"/>
  <c r="C107" i="5"/>
  <c r="C106" i="5"/>
  <c r="C105" i="5"/>
  <c r="C104" i="5"/>
  <c r="C103" i="5"/>
  <c r="C102" i="5"/>
  <c r="C101" i="5"/>
  <c r="C100" i="5"/>
  <c r="C99" i="5"/>
  <c r="C98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7" i="5"/>
  <c r="C76" i="5"/>
  <c r="C75" i="5"/>
  <c r="C74" i="5"/>
  <c r="C73" i="5"/>
  <c r="C72" i="5"/>
  <c r="C70" i="5"/>
  <c r="C69" i="5"/>
  <c r="C68" i="5"/>
  <c r="C67" i="5"/>
  <c r="C66" i="5"/>
  <c r="C65" i="5"/>
  <c r="C62" i="5"/>
  <c r="C61" i="5"/>
  <c r="C60" i="5"/>
  <c r="C59" i="5"/>
  <c r="C58" i="5"/>
  <c r="C57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8" i="5"/>
  <c r="C37" i="5"/>
  <c r="C36" i="5"/>
  <c r="C35" i="5"/>
  <c r="C34" i="5"/>
  <c r="C33" i="5"/>
  <c r="C32" i="5"/>
  <c r="C31" i="5"/>
  <c r="C30" i="5"/>
  <c r="C29" i="5"/>
  <c r="C28" i="5"/>
  <c r="C27" i="5"/>
  <c r="C25" i="5"/>
  <c r="C24" i="5"/>
  <c r="C23" i="5"/>
  <c r="C22" i="5"/>
  <c r="C21" i="5"/>
  <c r="C20" i="5"/>
  <c r="C19" i="5"/>
  <c r="C18" i="5"/>
  <c r="C17" i="5"/>
  <c r="C16" i="5"/>
  <c r="C15" i="5"/>
  <c r="C14" i="5"/>
  <c r="C8" i="5"/>
  <c r="E109" i="5"/>
  <c r="D109" i="5"/>
  <c r="G112" i="5"/>
  <c r="H112" i="5" s="1"/>
  <c r="G111" i="5"/>
  <c r="H111" i="5" s="1"/>
  <c r="G110" i="5"/>
  <c r="H110" i="5" s="1"/>
  <c r="E210" i="5"/>
  <c r="D210" i="5"/>
  <c r="G213" i="5"/>
  <c r="H213" i="5" s="1"/>
  <c r="G212" i="5"/>
  <c r="H212" i="5" s="1"/>
  <c r="G211" i="5"/>
  <c r="H211" i="5" s="1"/>
  <c r="S22" i="4"/>
  <c r="S16" i="4"/>
  <c r="S13" i="4" s="1"/>
  <c r="P22" i="4"/>
  <c r="P16" i="4"/>
  <c r="P13" i="4" s="1"/>
  <c r="M22" i="4"/>
  <c r="M16" i="4"/>
  <c r="M13" i="4" s="1"/>
  <c r="J22" i="4"/>
  <c r="J16" i="4"/>
  <c r="J13" i="4" s="1"/>
  <c r="G22" i="4"/>
  <c r="G16" i="4"/>
  <c r="G13" i="4" s="1"/>
  <c r="D22" i="4"/>
  <c r="D16" i="4"/>
  <c r="D13" i="4" s="1"/>
  <c r="H109" i="5" l="1"/>
  <c r="D8" i="4"/>
  <c r="C13" i="3" s="1"/>
  <c r="P8" i="4"/>
  <c r="C35" i="3" s="1"/>
  <c r="H35" i="3" s="1"/>
  <c r="G109" i="5"/>
  <c r="H210" i="5"/>
  <c r="G210" i="5"/>
  <c r="S8" i="4"/>
  <c r="C36" i="3" s="1"/>
  <c r="H36" i="3" s="1"/>
  <c r="M8" i="4"/>
  <c r="C25" i="3" s="1"/>
  <c r="H25" i="3" s="1"/>
  <c r="J8" i="4"/>
  <c r="C24" i="3" s="1"/>
  <c r="H24" i="3" s="1"/>
  <c r="G8" i="4"/>
  <c r="C14" i="3" s="1"/>
  <c r="C12" i="3" l="1"/>
  <c r="H23" i="3"/>
  <c r="C23" i="3"/>
  <c r="H34" i="3"/>
  <c r="C34" i="3"/>
  <c r="F12" i="3"/>
  <c r="G8" i="3" l="1"/>
  <c r="F8" i="3"/>
  <c r="E8" i="3"/>
  <c r="D8" i="3"/>
  <c r="C17" i="3"/>
  <c r="H17" i="3" s="1"/>
  <c r="C16" i="3"/>
  <c r="H16" i="3" l="1"/>
  <c r="H15" i="3" s="1"/>
  <c r="C15" i="3"/>
  <c r="G155" i="8"/>
  <c r="H155" i="8" s="1"/>
  <c r="G154" i="8"/>
  <c r="H154" i="8" s="1"/>
  <c r="G104" i="8"/>
  <c r="H104" i="8" s="1"/>
  <c r="G57" i="8"/>
  <c r="H57" i="8" s="1"/>
  <c r="G56" i="8"/>
  <c r="H56" i="8" s="1"/>
  <c r="G209" i="5"/>
  <c r="H209" i="5" s="1"/>
  <c r="G163" i="5"/>
  <c r="H163" i="5" s="1"/>
  <c r="G162" i="5"/>
  <c r="H162" i="5" s="1"/>
  <c r="E97" i="5"/>
  <c r="G108" i="5"/>
  <c r="H108" i="5" s="1"/>
  <c r="G62" i="5"/>
  <c r="H62" i="5" s="1"/>
  <c r="G60" i="5"/>
  <c r="H60" i="5" s="1"/>
  <c r="E192" i="8" l="1"/>
  <c r="E173" i="8"/>
  <c r="E166" i="8"/>
  <c r="G165" i="8"/>
  <c r="H165" i="8" s="1"/>
  <c r="E159" i="8"/>
  <c r="E151" i="8"/>
  <c r="E134" i="8"/>
  <c r="E121" i="8"/>
  <c r="E108" i="8"/>
  <c r="E94" i="8"/>
  <c r="E75" i="8"/>
  <c r="E68" i="8"/>
  <c r="E61" i="8"/>
  <c r="E53" i="8"/>
  <c r="G52" i="8"/>
  <c r="H52" i="8" s="1"/>
  <c r="G39" i="8"/>
  <c r="H39" i="8" s="1"/>
  <c r="E36" i="8"/>
  <c r="E23" i="8"/>
  <c r="E10" i="8"/>
  <c r="H18" i="7"/>
  <c r="G17" i="7"/>
  <c r="T12" i="7"/>
  <c r="T11" i="7"/>
  <c r="N11" i="7"/>
  <c r="N12" i="7" s="1"/>
  <c r="M11" i="7"/>
  <c r="M12" i="7" s="1"/>
  <c r="L11" i="7"/>
  <c r="E36" i="7" s="1"/>
  <c r="K11" i="7"/>
  <c r="D36" i="7" s="1"/>
  <c r="G11" i="7"/>
  <c r="G36" i="7" s="1"/>
  <c r="F11" i="7"/>
  <c r="F35" i="7" s="1"/>
  <c r="E11" i="7"/>
  <c r="E28" i="7" s="1"/>
  <c r="D11" i="7"/>
  <c r="D33" i="7" s="1"/>
  <c r="T10" i="7"/>
  <c r="O10" i="7"/>
  <c r="H10" i="7"/>
  <c r="T9" i="7"/>
  <c r="O9" i="7"/>
  <c r="H9" i="7"/>
  <c r="T8" i="7"/>
  <c r="O8" i="7"/>
  <c r="H8" i="7"/>
  <c r="H216" i="5"/>
  <c r="H215" i="5"/>
  <c r="E214" i="5"/>
  <c r="G207" i="5"/>
  <c r="H207" i="5" s="1"/>
  <c r="G205" i="5"/>
  <c r="H205" i="5" s="1"/>
  <c r="G203" i="5"/>
  <c r="H203" i="5" s="1"/>
  <c r="G201" i="5"/>
  <c r="H201" i="5" s="1"/>
  <c r="E199" i="5"/>
  <c r="G197" i="5"/>
  <c r="H197" i="5" s="1"/>
  <c r="G195" i="5"/>
  <c r="H195" i="5" s="1"/>
  <c r="G193" i="5"/>
  <c r="H193" i="5" s="1"/>
  <c r="G191" i="5"/>
  <c r="H191" i="5" s="1"/>
  <c r="G189" i="5"/>
  <c r="H189" i="5" s="1"/>
  <c r="G187" i="5"/>
  <c r="H187" i="5" s="1"/>
  <c r="G185" i="5"/>
  <c r="H185" i="5" s="1"/>
  <c r="G183" i="5"/>
  <c r="H183" i="5" s="1"/>
  <c r="G181" i="5"/>
  <c r="H181" i="5" s="1"/>
  <c r="E180" i="5"/>
  <c r="G179" i="5"/>
  <c r="H179" i="5" s="1"/>
  <c r="G177" i="5"/>
  <c r="H177" i="5" s="1"/>
  <c r="G175" i="5"/>
  <c r="H175" i="5" s="1"/>
  <c r="E173" i="5"/>
  <c r="G171" i="5"/>
  <c r="H171" i="5" s="1"/>
  <c r="G169" i="5"/>
  <c r="H169" i="5" s="1"/>
  <c r="G168" i="5"/>
  <c r="H168" i="5" s="1"/>
  <c r="G167" i="5"/>
  <c r="E166" i="5"/>
  <c r="G161" i="5"/>
  <c r="H161" i="5" s="1"/>
  <c r="E158" i="5"/>
  <c r="G156" i="5"/>
  <c r="H156" i="5" s="1"/>
  <c r="G154" i="5"/>
  <c r="H154" i="5" s="1"/>
  <c r="G153" i="5"/>
  <c r="H153" i="5" s="1"/>
  <c r="G148" i="5"/>
  <c r="H148" i="5" s="1"/>
  <c r="G145" i="5"/>
  <c r="H145" i="5" s="1"/>
  <c r="G143" i="5"/>
  <c r="H143" i="5" s="1"/>
  <c r="E141" i="5"/>
  <c r="G139" i="5"/>
  <c r="H139" i="5" s="1"/>
  <c r="G135" i="5"/>
  <c r="H135" i="5" s="1"/>
  <c r="G133" i="5"/>
  <c r="H133" i="5" s="1"/>
  <c r="G131" i="5"/>
  <c r="H131" i="5" s="1"/>
  <c r="G130" i="5"/>
  <c r="H130" i="5" s="1"/>
  <c r="E128" i="5"/>
  <c r="G127" i="5"/>
  <c r="H127" i="5" s="1"/>
  <c r="G125" i="5"/>
  <c r="H125" i="5" s="1"/>
  <c r="G123" i="5"/>
  <c r="H123" i="5" s="1"/>
  <c r="G121" i="5"/>
  <c r="H121" i="5" s="1"/>
  <c r="G120" i="5"/>
  <c r="H120" i="5" s="1"/>
  <c r="G119" i="5"/>
  <c r="H119" i="5" s="1"/>
  <c r="G117" i="5"/>
  <c r="H117" i="5" s="1"/>
  <c r="E115" i="5"/>
  <c r="G107" i="5"/>
  <c r="H107" i="5" s="1"/>
  <c r="G105" i="5"/>
  <c r="H105" i="5" s="1"/>
  <c r="G103" i="5"/>
  <c r="H103" i="5" s="1"/>
  <c r="G101" i="5"/>
  <c r="H101" i="5" s="1"/>
  <c r="G99" i="5"/>
  <c r="H99" i="5" s="1"/>
  <c r="G95" i="5"/>
  <c r="H95" i="5" s="1"/>
  <c r="G93" i="5"/>
  <c r="H93" i="5" s="1"/>
  <c r="G91" i="5"/>
  <c r="H91" i="5" s="1"/>
  <c r="G89" i="5"/>
  <c r="H89" i="5" s="1"/>
  <c r="G87" i="5"/>
  <c r="H87" i="5" s="1"/>
  <c r="G85" i="5"/>
  <c r="H85" i="5" s="1"/>
  <c r="G83" i="5"/>
  <c r="H83" i="5" s="1"/>
  <c r="G81" i="5"/>
  <c r="H81" i="5" s="1"/>
  <c r="E78" i="5"/>
  <c r="G77" i="5"/>
  <c r="H77" i="5" s="1"/>
  <c r="G75" i="5"/>
  <c r="H75" i="5" s="1"/>
  <c r="G73" i="5"/>
  <c r="H73" i="5" s="1"/>
  <c r="E71" i="5"/>
  <c r="G69" i="5"/>
  <c r="H69" i="5" s="1"/>
  <c r="G67" i="5"/>
  <c r="H67" i="5" s="1"/>
  <c r="E64" i="5"/>
  <c r="G59" i="5"/>
  <c r="H59" i="5" s="1"/>
  <c r="E56" i="5"/>
  <c r="G54" i="5"/>
  <c r="H54" i="5" s="1"/>
  <c r="G52" i="5"/>
  <c r="H52" i="5" s="1"/>
  <c r="G51" i="5"/>
  <c r="H51" i="5" s="1"/>
  <c r="G49" i="5"/>
  <c r="H49" i="5" s="1"/>
  <c r="G46" i="5"/>
  <c r="H46" i="5" s="1"/>
  <c r="G44" i="5"/>
  <c r="H44" i="5" s="1"/>
  <c r="G43" i="5"/>
  <c r="H43" i="5" s="1"/>
  <c r="G41" i="5"/>
  <c r="H41" i="5" s="1"/>
  <c r="E39" i="5"/>
  <c r="G37" i="5"/>
  <c r="H37" i="5" s="1"/>
  <c r="G35" i="5"/>
  <c r="H35" i="5" s="1"/>
  <c r="G33" i="5"/>
  <c r="H33" i="5" s="1"/>
  <c r="G31" i="5"/>
  <c r="H31" i="5" s="1"/>
  <c r="G29" i="5"/>
  <c r="H29" i="5" s="1"/>
  <c r="E26" i="5"/>
  <c r="G25" i="5"/>
  <c r="H25" i="5" s="1"/>
  <c r="G23" i="5"/>
  <c r="H23" i="5" s="1"/>
  <c r="G21" i="5"/>
  <c r="H21" i="5" s="1"/>
  <c r="G19" i="5"/>
  <c r="H19" i="5" s="1"/>
  <c r="G17" i="5"/>
  <c r="H17" i="5" s="1"/>
  <c r="G15" i="5"/>
  <c r="H15" i="5" s="1"/>
  <c r="G14" i="5"/>
  <c r="E13" i="5"/>
  <c r="D9" i="5"/>
  <c r="C9" i="5" s="1"/>
  <c r="F7" i="5"/>
  <c r="E7" i="5"/>
  <c r="H11" i="7" l="1"/>
  <c r="E107" i="8"/>
  <c r="E60" i="8"/>
  <c r="G103" i="8"/>
  <c r="H103" i="8" s="1"/>
  <c r="G199" i="8"/>
  <c r="H199" i="8" s="1"/>
  <c r="G67" i="8"/>
  <c r="H67" i="8" s="1"/>
  <c r="G87" i="8"/>
  <c r="H87" i="8" s="1"/>
  <c r="G125" i="8"/>
  <c r="H125" i="8" s="1"/>
  <c r="D7" i="5"/>
  <c r="G7" i="5" s="1"/>
  <c r="O11" i="7"/>
  <c r="G34" i="7"/>
  <c r="G12" i="7"/>
  <c r="G31" i="8"/>
  <c r="H31" i="8" s="1"/>
  <c r="G95" i="8"/>
  <c r="H95" i="8" s="1"/>
  <c r="G45" i="8"/>
  <c r="H45" i="8" s="1"/>
  <c r="G79" i="8"/>
  <c r="H79" i="8" s="1"/>
  <c r="G115" i="8"/>
  <c r="H115" i="8" s="1"/>
  <c r="E158" i="8"/>
  <c r="D166" i="8"/>
  <c r="G42" i="8"/>
  <c r="H42" i="8" s="1"/>
  <c r="G71" i="8"/>
  <c r="H71" i="8" s="1"/>
  <c r="G91" i="8"/>
  <c r="H91" i="8" s="1"/>
  <c r="G111" i="8"/>
  <c r="H111" i="8" s="1"/>
  <c r="G140" i="8"/>
  <c r="H140" i="8" s="1"/>
  <c r="G147" i="8"/>
  <c r="H147" i="8" s="1"/>
  <c r="G162" i="8"/>
  <c r="H162" i="8" s="1"/>
  <c r="G164" i="8"/>
  <c r="H164" i="8" s="1"/>
  <c r="G35" i="8"/>
  <c r="H35" i="8" s="1"/>
  <c r="G59" i="8"/>
  <c r="H59" i="8" s="1"/>
  <c r="G63" i="8"/>
  <c r="H63" i="8" s="1"/>
  <c r="G83" i="8"/>
  <c r="H83" i="8" s="1"/>
  <c r="G99" i="8"/>
  <c r="H99" i="8" s="1"/>
  <c r="G119" i="8"/>
  <c r="H119" i="8" s="1"/>
  <c r="G133" i="8"/>
  <c r="H133" i="8" s="1"/>
  <c r="G168" i="8"/>
  <c r="H168" i="8" s="1"/>
  <c r="G170" i="8"/>
  <c r="H170" i="8" s="1"/>
  <c r="G172" i="8"/>
  <c r="H172" i="8" s="1"/>
  <c r="E9" i="8"/>
  <c r="G37" i="8"/>
  <c r="H37" i="8" s="1"/>
  <c r="G44" i="8"/>
  <c r="H44" i="8" s="1"/>
  <c r="G50" i="8"/>
  <c r="H50" i="8" s="1"/>
  <c r="G55" i="8"/>
  <c r="H55" i="8" s="1"/>
  <c r="G69" i="8"/>
  <c r="H69" i="8" s="1"/>
  <c r="G74" i="8"/>
  <c r="H74" i="8" s="1"/>
  <c r="G77" i="8"/>
  <c r="H77" i="8" s="1"/>
  <c r="G85" i="8"/>
  <c r="H85" i="8" s="1"/>
  <c r="G93" i="8"/>
  <c r="H93" i="8" s="1"/>
  <c r="G101" i="8"/>
  <c r="H101" i="8" s="1"/>
  <c r="G113" i="8"/>
  <c r="H113" i="8" s="1"/>
  <c r="G139" i="8"/>
  <c r="H139" i="8" s="1"/>
  <c r="G143" i="8"/>
  <c r="H143" i="8" s="1"/>
  <c r="G161" i="8"/>
  <c r="H161" i="8" s="1"/>
  <c r="G27" i="8"/>
  <c r="H27" i="8" s="1"/>
  <c r="G33" i="8"/>
  <c r="H33" i="8" s="1"/>
  <c r="G47" i="8"/>
  <c r="H47" i="8" s="1"/>
  <c r="G65" i="8"/>
  <c r="H65" i="8" s="1"/>
  <c r="D75" i="8"/>
  <c r="G81" i="8"/>
  <c r="H81" i="8" s="1"/>
  <c r="G89" i="8"/>
  <c r="H89" i="8" s="1"/>
  <c r="G97" i="8"/>
  <c r="G96" i="8" s="1"/>
  <c r="H96" i="8" s="1"/>
  <c r="G109" i="8"/>
  <c r="H109" i="8" s="1"/>
  <c r="G117" i="8"/>
  <c r="H117" i="8" s="1"/>
  <c r="G123" i="8"/>
  <c r="H123" i="8" s="1"/>
  <c r="G129" i="8"/>
  <c r="H129" i="8" s="1"/>
  <c r="G135" i="8"/>
  <c r="H135" i="8" s="1"/>
  <c r="G157" i="8"/>
  <c r="H157" i="8" s="1"/>
  <c r="G175" i="8"/>
  <c r="H175" i="8" s="1"/>
  <c r="G177" i="8"/>
  <c r="H177" i="8" s="1"/>
  <c r="G179" i="8"/>
  <c r="H179" i="8" s="1"/>
  <c r="G181" i="8"/>
  <c r="H181" i="8" s="1"/>
  <c r="G183" i="8"/>
  <c r="H183" i="8" s="1"/>
  <c r="G185" i="8"/>
  <c r="H185" i="8" s="1"/>
  <c r="G187" i="8"/>
  <c r="H187" i="8" s="1"/>
  <c r="G189" i="8"/>
  <c r="H189" i="8" s="1"/>
  <c r="G191" i="8"/>
  <c r="H191" i="8" s="1"/>
  <c r="G193" i="8"/>
  <c r="H193" i="8" s="1"/>
  <c r="G195" i="8"/>
  <c r="H195" i="8" s="1"/>
  <c r="G24" i="5"/>
  <c r="H24" i="5" s="1"/>
  <c r="G122" i="5"/>
  <c r="H122" i="5" s="1"/>
  <c r="G124" i="5"/>
  <c r="H124" i="5" s="1"/>
  <c r="G126" i="5"/>
  <c r="H126" i="5" s="1"/>
  <c r="G159" i="5"/>
  <c r="H159" i="5" s="1"/>
  <c r="E12" i="5"/>
  <c r="E114" i="5"/>
  <c r="G47" i="5"/>
  <c r="H47" i="5" s="1"/>
  <c r="G53" i="5"/>
  <c r="H53" i="5" s="1"/>
  <c r="G116" i="5"/>
  <c r="H116" i="5" s="1"/>
  <c r="G118" i="5"/>
  <c r="H118" i="5" s="1"/>
  <c r="G142" i="5"/>
  <c r="H142" i="5" s="1"/>
  <c r="G8" i="5"/>
  <c r="H8" i="5" s="1"/>
  <c r="G16" i="5"/>
  <c r="H16" i="5" s="1"/>
  <c r="G18" i="5"/>
  <c r="H18" i="5" s="1"/>
  <c r="G36" i="5"/>
  <c r="H36" i="5" s="1"/>
  <c r="G50" i="5"/>
  <c r="H50" i="5" s="1"/>
  <c r="G86" i="5"/>
  <c r="H86" i="5" s="1"/>
  <c r="G98" i="5"/>
  <c r="H98" i="5" s="1"/>
  <c r="G138" i="5"/>
  <c r="H138" i="5" s="1"/>
  <c r="G147" i="5"/>
  <c r="H147" i="5" s="1"/>
  <c r="G19" i="8"/>
  <c r="H19" i="8" s="1"/>
  <c r="G163" i="8"/>
  <c r="H163" i="8" s="1"/>
  <c r="G178" i="8"/>
  <c r="H178" i="8" s="1"/>
  <c r="G182" i="8"/>
  <c r="H182" i="8" s="1"/>
  <c r="G194" i="8"/>
  <c r="H194" i="8" s="1"/>
  <c r="D192" i="8"/>
  <c r="G17" i="8"/>
  <c r="H17" i="8" s="1"/>
  <c r="G25" i="8"/>
  <c r="H25" i="8" s="1"/>
  <c r="D53" i="8"/>
  <c r="G84" i="8"/>
  <c r="H84" i="8" s="1"/>
  <c r="G116" i="8"/>
  <c r="H116" i="8" s="1"/>
  <c r="G128" i="8"/>
  <c r="H128" i="8" s="1"/>
  <c r="G138" i="8"/>
  <c r="H138" i="8" s="1"/>
  <c r="D134" i="8"/>
  <c r="G142" i="8"/>
  <c r="H142" i="8" s="1"/>
  <c r="G88" i="8"/>
  <c r="H88" i="8" s="1"/>
  <c r="G120" i="8"/>
  <c r="H120" i="8" s="1"/>
  <c r="G38" i="8"/>
  <c r="H38" i="8" s="1"/>
  <c r="G80" i="8"/>
  <c r="H80" i="8" s="1"/>
  <c r="G112" i="8"/>
  <c r="H112" i="8" s="1"/>
  <c r="G150" i="8"/>
  <c r="H150" i="8" s="1"/>
  <c r="G156" i="8"/>
  <c r="H156" i="8" s="1"/>
  <c r="G174" i="8"/>
  <c r="H174" i="8" s="1"/>
  <c r="D173" i="8"/>
  <c r="G186" i="8"/>
  <c r="H186" i="8" s="1"/>
  <c r="G190" i="8"/>
  <c r="H190" i="8" s="1"/>
  <c r="G12" i="8"/>
  <c r="H12" i="8" s="1"/>
  <c r="G14" i="8"/>
  <c r="H14" i="8" s="1"/>
  <c r="G16" i="8"/>
  <c r="H16" i="8" s="1"/>
  <c r="G18" i="8"/>
  <c r="H18" i="8" s="1"/>
  <c r="G21" i="8"/>
  <c r="H21" i="8" s="1"/>
  <c r="G29" i="8"/>
  <c r="H29" i="8" s="1"/>
  <c r="G32" i="8"/>
  <c r="H32" i="8" s="1"/>
  <c r="G34" i="8"/>
  <c r="H34" i="8" s="1"/>
  <c r="G76" i="8"/>
  <c r="G92" i="8"/>
  <c r="H92" i="8" s="1"/>
  <c r="G102" i="8"/>
  <c r="H102" i="8" s="1"/>
  <c r="G124" i="8"/>
  <c r="H124" i="8" s="1"/>
  <c r="G132" i="8"/>
  <c r="H132" i="8" s="1"/>
  <c r="G146" i="8"/>
  <c r="H146" i="8" s="1"/>
  <c r="G167" i="8"/>
  <c r="G171" i="8"/>
  <c r="H171" i="8" s="1"/>
  <c r="G198" i="8"/>
  <c r="H198" i="8" s="1"/>
  <c r="G202" i="8"/>
  <c r="H202" i="8" s="1"/>
  <c r="D68" i="8"/>
  <c r="D94" i="8"/>
  <c r="D108" i="8"/>
  <c r="G127" i="8"/>
  <c r="H127" i="8" s="1"/>
  <c r="G131" i="8"/>
  <c r="H131" i="8" s="1"/>
  <c r="G137" i="8"/>
  <c r="H137" i="8" s="1"/>
  <c r="G141" i="8"/>
  <c r="H141" i="8" s="1"/>
  <c r="G145" i="8"/>
  <c r="H145" i="8" s="1"/>
  <c r="G149" i="8"/>
  <c r="H149" i="8" s="1"/>
  <c r="G153" i="8"/>
  <c r="H153" i="8" s="1"/>
  <c r="G197" i="8"/>
  <c r="H197" i="8" s="1"/>
  <c r="G201" i="8"/>
  <c r="H201" i="8" s="1"/>
  <c r="D36" i="8"/>
  <c r="G41" i="8"/>
  <c r="H41" i="8" s="1"/>
  <c r="G72" i="8"/>
  <c r="H72" i="8" s="1"/>
  <c r="G73" i="8"/>
  <c r="H73" i="8" s="1"/>
  <c r="G78" i="8"/>
  <c r="H78" i="8" s="1"/>
  <c r="G82" i="8"/>
  <c r="H82" i="8" s="1"/>
  <c r="G86" i="8"/>
  <c r="H86" i="8" s="1"/>
  <c r="G90" i="8"/>
  <c r="H90" i="8" s="1"/>
  <c r="G100" i="8"/>
  <c r="H100" i="8" s="1"/>
  <c r="G105" i="8"/>
  <c r="H105" i="8" s="1"/>
  <c r="G110" i="8"/>
  <c r="H110" i="8" s="1"/>
  <c r="G114" i="8"/>
  <c r="H114" i="8" s="1"/>
  <c r="G118" i="8"/>
  <c r="H118" i="8" s="1"/>
  <c r="G122" i="8"/>
  <c r="G126" i="8"/>
  <c r="H126" i="8" s="1"/>
  <c r="G130" i="8"/>
  <c r="H130" i="8" s="1"/>
  <c r="G136" i="8"/>
  <c r="H136" i="8" s="1"/>
  <c r="G144" i="8"/>
  <c r="H144" i="8" s="1"/>
  <c r="G148" i="8"/>
  <c r="H148" i="8" s="1"/>
  <c r="G152" i="8"/>
  <c r="G169" i="8"/>
  <c r="H169" i="8" s="1"/>
  <c r="G176" i="8"/>
  <c r="H176" i="8" s="1"/>
  <c r="G180" i="8"/>
  <c r="H180" i="8" s="1"/>
  <c r="G184" i="8"/>
  <c r="H184" i="8" s="1"/>
  <c r="G188" i="8"/>
  <c r="H188" i="8" s="1"/>
  <c r="G196" i="8"/>
  <c r="H196" i="8" s="1"/>
  <c r="G200" i="8"/>
  <c r="H200" i="8" s="1"/>
  <c r="H14" i="5"/>
  <c r="G9" i="5"/>
  <c r="H9" i="5" s="1"/>
  <c r="G20" i="5"/>
  <c r="H20" i="5" s="1"/>
  <c r="G32" i="5"/>
  <c r="H32" i="5" s="1"/>
  <c r="G68" i="5"/>
  <c r="H68" i="5" s="1"/>
  <c r="G82" i="5"/>
  <c r="H82" i="5" s="1"/>
  <c r="G137" i="5"/>
  <c r="H137" i="5" s="1"/>
  <c r="G146" i="5"/>
  <c r="H146" i="5" s="1"/>
  <c r="G151" i="5"/>
  <c r="H151" i="5" s="1"/>
  <c r="G22" i="5"/>
  <c r="H22" i="5" s="1"/>
  <c r="G28" i="5"/>
  <c r="H28" i="5" s="1"/>
  <c r="G40" i="5"/>
  <c r="H40" i="5" s="1"/>
  <c r="G58" i="5"/>
  <c r="H58" i="5" s="1"/>
  <c r="E63" i="5"/>
  <c r="G94" i="5"/>
  <c r="H94" i="5" s="1"/>
  <c r="G106" i="5"/>
  <c r="H106" i="5" s="1"/>
  <c r="E165" i="5"/>
  <c r="G170" i="5"/>
  <c r="H170" i="5" s="1"/>
  <c r="G172" i="5"/>
  <c r="H172" i="5" s="1"/>
  <c r="G174" i="5"/>
  <c r="G176" i="5"/>
  <c r="H176" i="5" s="1"/>
  <c r="G178" i="5"/>
  <c r="H178" i="5" s="1"/>
  <c r="D199" i="5"/>
  <c r="G72" i="5"/>
  <c r="H72" i="5" s="1"/>
  <c r="G76" i="5"/>
  <c r="H76" i="5" s="1"/>
  <c r="G90" i="5"/>
  <c r="H90" i="5" s="1"/>
  <c r="G102" i="5"/>
  <c r="H102" i="5" s="1"/>
  <c r="G155" i="5"/>
  <c r="H155" i="5" s="1"/>
  <c r="D173" i="5"/>
  <c r="H214" i="5"/>
  <c r="D10" i="8"/>
  <c r="G11" i="8"/>
  <c r="G13" i="8"/>
  <c r="H13" i="8" s="1"/>
  <c r="G15" i="8"/>
  <c r="H15" i="8" s="1"/>
  <c r="G20" i="8"/>
  <c r="H20" i="8" s="1"/>
  <c r="G22" i="8"/>
  <c r="H22" i="8" s="1"/>
  <c r="D23" i="8"/>
  <c r="G24" i="8"/>
  <c r="G26" i="8"/>
  <c r="H26" i="8" s="1"/>
  <c r="G28" i="8"/>
  <c r="H28" i="8" s="1"/>
  <c r="G30" i="8"/>
  <c r="H30" i="8" s="1"/>
  <c r="G40" i="8"/>
  <c r="H40" i="8" s="1"/>
  <c r="G43" i="8"/>
  <c r="H43" i="8" s="1"/>
  <c r="G46" i="8"/>
  <c r="H46" i="8" s="1"/>
  <c r="G48" i="8"/>
  <c r="H48" i="8" s="1"/>
  <c r="G49" i="8"/>
  <c r="H49" i="8" s="1"/>
  <c r="G51" i="8"/>
  <c r="H51" i="8" s="1"/>
  <c r="G54" i="8"/>
  <c r="G58" i="8"/>
  <c r="H58" i="8" s="1"/>
  <c r="D61" i="8"/>
  <c r="G62" i="8"/>
  <c r="G64" i="8"/>
  <c r="H64" i="8" s="1"/>
  <c r="G66" i="8"/>
  <c r="H66" i="8" s="1"/>
  <c r="G70" i="8"/>
  <c r="H70" i="8" s="1"/>
  <c r="D121" i="8"/>
  <c r="D151" i="8"/>
  <c r="D159" i="8"/>
  <c r="G160" i="8"/>
  <c r="D21" i="7"/>
  <c r="G23" i="7"/>
  <c r="D26" i="7"/>
  <c r="F28" i="7"/>
  <c r="E29" i="7"/>
  <c r="D30" i="7"/>
  <c r="G31" i="7"/>
  <c r="E33" i="7"/>
  <c r="D34" i="7"/>
  <c r="G35" i="7"/>
  <c r="F36" i="7"/>
  <c r="H36" i="7" s="1"/>
  <c r="D12" i="7"/>
  <c r="D20" i="7"/>
  <c r="E21" i="7"/>
  <c r="D23" i="7"/>
  <c r="G24" i="7"/>
  <c r="F25" i="7"/>
  <c r="E26" i="7"/>
  <c r="G28" i="7"/>
  <c r="F29" i="7"/>
  <c r="E30" i="7"/>
  <c r="D31" i="7"/>
  <c r="F33" i="7"/>
  <c r="E34" i="7"/>
  <c r="D35" i="7"/>
  <c r="E25" i="7"/>
  <c r="E12" i="7"/>
  <c r="K12" i="7"/>
  <c r="E20" i="7"/>
  <c r="F21" i="7"/>
  <c r="F17" i="7" s="1"/>
  <c r="E23" i="7"/>
  <c r="D24" i="7"/>
  <c r="G25" i="7"/>
  <c r="F26" i="7"/>
  <c r="D28" i="7"/>
  <c r="G29" i="7"/>
  <c r="F30" i="7"/>
  <c r="E31" i="7"/>
  <c r="G33" i="7"/>
  <c r="F34" i="7"/>
  <c r="E35" i="7"/>
  <c r="F24" i="7"/>
  <c r="F12" i="7"/>
  <c r="L12" i="7"/>
  <c r="D19" i="7"/>
  <c r="F23" i="7"/>
  <c r="E24" i="7"/>
  <c r="D25" i="7"/>
  <c r="G26" i="7"/>
  <c r="D29" i="7"/>
  <c r="G30" i="7"/>
  <c r="F31" i="7"/>
  <c r="D13" i="5"/>
  <c r="G30" i="5"/>
  <c r="H30" i="5" s="1"/>
  <c r="G34" i="5"/>
  <c r="H34" i="5" s="1"/>
  <c r="G38" i="5"/>
  <c r="H38" i="5" s="1"/>
  <c r="D39" i="5"/>
  <c r="G42" i="5"/>
  <c r="H42" i="5" s="1"/>
  <c r="G45" i="5"/>
  <c r="H45" i="5" s="1"/>
  <c r="G48" i="5"/>
  <c r="H48" i="5" s="1"/>
  <c r="G55" i="5"/>
  <c r="H55" i="5" s="1"/>
  <c r="G66" i="5"/>
  <c r="H66" i="5" s="1"/>
  <c r="G70" i="5"/>
  <c r="H70" i="5" s="1"/>
  <c r="D71" i="5"/>
  <c r="G74" i="5"/>
  <c r="H74" i="5" s="1"/>
  <c r="G79" i="5"/>
  <c r="D78" i="5"/>
  <c r="G129" i="5"/>
  <c r="D128" i="5"/>
  <c r="G132" i="5"/>
  <c r="H132" i="5" s="1"/>
  <c r="D141" i="5"/>
  <c r="H167" i="5"/>
  <c r="G65" i="5"/>
  <c r="D64" i="5"/>
  <c r="G134" i="5"/>
  <c r="H134" i="5" s="1"/>
  <c r="G144" i="5"/>
  <c r="H144" i="5" s="1"/>
  <c r="G157" i="5"/>
  <c r="H157" i="5" s="1"/>
  <c r="G27" i="5"/>
  <c r="D26" i="5"/>
  <c r="G61" i="5"/>
  <c r="H61" i="5" s="1"/>
  <c r="G80" i="5"/>
  <c r="H80" i="5" s="1"/>
  <c r="G84" i="5"/>
  <c r="H84" i="5" s="1"/>
  <c r="G88" i="5"/>
  <c r="H88" i="5" s="1"/>
  <c r="G92" i="5"/>
  <c r="H92" i="5" s="1"/>
  <c r="G96" i="5"/>
  <c r="H96" i="5" s="1"/>
  <c r="D97" i="5"/>
  <c r="G100" i="5"/>
  <c r="H100" i="5" s="1"/>
  <c r="G104" i="5"/>
  <c r="H104" i="5" s="1"/>
  <c r="G140" i="5"/>
  <c r="H140" i="5" s="1"/>
  <c r="G149" i="5"/>
  <c r="H149" i="5" s="1"/>
  <c r="G150" i="5"/>
  <c r="H150" i="5" s="1"/>
  <c r="G57" i="5"/>
  <c r="D56" i="5"/>
  <c r="D115" i="5"/>
  <c r="D158" i="5"/>
  <c r="G136" i="5"/>
  <c r="H136" i="5" s="1"/>
  <c r="G152" i="5"/>
  <c r="H152" i="5" s="1"/>
  <c r="G160" i="5"/>
  <c r="G164" i="5"/>
  <c r="H164" i="5" s="1"/>
  <c r="D180" i="5"/>
  <c r="D166" i="5"/>
  <c r="G182" i="5"/>
  <c r="G184" i="5"/>
  <c r="H184" i="5" s="1"/>
  <c r="G186" i="5"/>
  <c r="H186" i="5" s="1"/>
  <c r="G188" i="5"/>
  <c r="H188" i="5" s="1"/>
  <c r="G190" i="5"/>
  <c r="H190" i="5" s="1"/>
  <c r="G192" i="5"/>
  <c r="H192" i="5" s="1"/>
  <c r="G194" i="5"/>
  <c r="H194" i="5" s="1"/>
  <c r="G196" i="5"/>
  <c r="H196" i="5" s="1"/>
  <c r="G198" i="5"/>
  <c r="H198" i="5" s="1"/>
  <c r="G200" i="5"/>
  <c r="G202" i="5"/>
  <c r="H202" i="5" s="1"/>
  <c r="G204" i="5"/>
  <c r="H204" i="5" s="1"/>
  <c r="G206" i="5"/>
  <c r="H206" i="5" s="1"/>
  <c r="G208" i="5"/>
  <c r="H208" i="5" s="1"/>
  <c r="E7" i="8" l="1"/>
  <c r="C7" i="5"/>
  <c r="E10" i="5"/>
  <c r="E217" i="5" s="1"/>
  <c r="E204" i="8"/>
  <c r="H7" i="5"/>
  <c r="G166" i="5"/>
  <c r="H34" i="7"/>
  <c r="H33" i="7"/>
  <c r="E27" i="7"/>
  <c r="H29" i="7"/>
  <c r="F22" i="7"/>
  <c r="H30" i="7"/>
  <c r="G22" i="7"/>
  <c r="D107" i="8"/>
  <c r="H192" i="8"/>
  <c r="H134" i="8"/>
  <c r="H97" i="8"/>
  <c r="H115" i="5"/>
  <c r="G173" i="5"/>
  <c r="H13" i="5"/>
  <c r="G115" i="5"/>
  <c r="H174" i="5"/>
  <c r="H173" i="5" s="1"/>
  <c r="H39" i="5"/>
  <c r="H122" i="8"/>
  <c r="H121" i="8" s="1"/>
  <c r="G121" i="8"/>
  <c r="D158" i="8"/>
  <c r="D60" i="8"/>
  <c r="G151" i="8"/>
  <c r="H152" i="8"/>
  <c r="H151" i="8" s="1"/>
  <c r="H108" i="8"/>
  <c r="H167" i="8"/>
  <c r="H166" i="8" s="1"/>
  <c r="G166" i="8"/>
  <c r="G108" i="8"/>
  <c r="H76" i="8"/>
  <c r="H75" i="8" s="1"/>
  <c r="G75" i="8"/>
  <c r="H173" i="8"/>
  <c r="G173" i="8"/>
  <c r="G192" i="8"/>
  <c r="G98" i="8"/>
  <c r="G134" i="8"/>
  <c r="G71" i="5"/>
  <c r="H166" i="5"/>
  <c r="D114" i="5"/>
  <c r="H71" i="5"/>
  <c r="G13" i="5"/>
  <c r="D165" i="5"/>
  <c r="G39" i="5"/>
  <c r="H62" i="8"/>
  <c r="H61" i="8" s="1"/>
  <c r="G61" i="8"/>
  <c r="H24" i="8"/>
  <c r="H23" i="8" s="1"/>
  <c r="G23" i="8"/>
  <c r="D9" i="8"/>
  <c r="H68" i="8"/>
  <c r="H36" i="8"/>
  <c r="G68" i="8"/>
  <c r="G36" i="8"/>
  <c r="H160" i="8"/>
  <c r="H159" i="8" s="1"/>
  <c r="G159" i="8"/>
  <c r="H54" i="8"/>
  <c r="H53" i="8" s="1"/>
  <c r="G53" i="8"/>
  <c r="H11" i="8"/>
  <c r="H10" i="8" s="1"/>
  <c r="G10" i="8"/>
  <c r="E17" i="7"/>
  <c r="H21" i="7"/>
  <c r="H25" i="7"/>
  <c r="H24" i="7"/>
  <c r="O12" i="7"/>
  <c r="H12" i="7"/>
  <c r="E32" i="7"/>
  <c r="F27" i="7"/>
  <c r="H31" i="7"/>
  <c r="D17" i="7"/>
  <c r="H19" i="7"/>
  <c r="H35" i="7"/>
  <c r="H20" i="7"/>
  <c r="G32" i="7"/>
  <c r="H28" i="7"/>
  <c r="D27" i="7"/>
  <c r="E22" i="7"/>
  <c r="F32" i="7"/>
  <c r="G27" i="7"/>
  <c r="H23" i="7"/>
  <c r="D22" i="7"/>
  <c r="H26" i="7"/>
  <c r="D32" i="7"/>
  <c r="H160" i="5"/>
  <c r="H158" i="5" s="1"/>
  <c r="G158" i="5"/>
  <c r="H141" i="5"/>
  <c r="D63" i="5"/>
  <c r="H129" i="5"/>
  <c r="H128" i="5" s="1"/>
  <c r="H114" i="5" s="1"/>
  <c r="G128" i="5"/>
  <c r="H79" i="5"/>
  <c r="H78" i="5" s="1"/>
  <c r="G78" i="5"/>
  <c r="G141" i="5"/>
  <c r="G199" i="5"/>
  <c r="H200" i="5"/>
  <c r="H199" i="5" s="1"/>
  <c r="H27" i="5"/>
  <c r="H26" i="5" s="1"/>
  <c r="G26" i="5"/>
  <c r="G64" i="5"/>
  <c r="H65" i="5"/>
  <c r="H64" i="5" s="1"/>
  <c r="D12" i="5"/>
  <c r="G97" i="5"/>
  <c r="H182" i="5"/>
  <c r="H180" i="5" s="1"/>
  <c r="G180" i="5"/>
  <c r="G56" i="5"/>
  <c r="H57" i="5"/>
  <c r="H56" i="5" s="1"/>
  <c r="H97" i="5"/>
  <c r="H32" i="7" l="1"/>
  <c r="F37" i="7"/>
  <c r="G9" i="8"/>
  <c r="G12" i="5"/>
  <c r="G114" i="5"/>
  <c r="H165" i="5"/>
  <c r="H9" i="8"/>
  <c r="H107" i="8"/>
  <c r="G37" i="7"/>
  <c r="H158" i="8"/>
  <c r="G107" i="8"/>
  <c r="G165" i="5"/>
  <c r="H12" i="5"/>
  <c r="H98" i="8"/>
  <c r="H94" i="8" s="1"/>
  <c r="H60" i="8" s="1"/>
  <c r="G94" i="8"/>
  <c r="G60" i="8" s="1"/>
  <c r="G158" i="8"/>
  <c r="H63" i="5"/>
  <c r="H22" i="7"/>
  <c r="H27" i="7"/>
  <c r="H17" i="7"/>
  <c r="E37" i="7"/>
  <c r="D37" i="7"/>
  <c r="G63" i="5"/>
  <c r="H7" i="8" l="1"/>
  <c r="H10" i="5"/>
  <c r="H217" i="5" s="1"/>
  <c r="H37" i="7"/>
  <c r="H204" i="8" l="1"/>
  <c r="E22" i="4"/>
  <c r="F22" i="4"/>
  <c r="H22" i="4"/>
  <c r="I22" i="4"/>
  <c r="K22" i="4"/>
  <c r="L22" i="4"/>
  <c r="N22" i="4"/>
  <c r="O22" i="4"/>
  <c r="Q22" i="4"/>
  <c r="R22" i="4"/>
  <c r="T22" i="4"/>
  <c r="C22" i="4"/>
  <c r="E16" i="4"/>
  <c r="E13" i="4" s="1"/>
  <c r="E8" i="4" s="1"/>
  <c r="F16" i="4"/>
  <c r="F13" i="4" s="1"/>
  <c r="H16" i="4"/>
  <c r="H13" i="4" s="1"/>
  <c r="I16" i="4"/>
  <c r="I13" i="4" s="1"/>
  <c r="K16" i="4"/>
  <c r="K13" i="4" s="1"/>
  <c r="L16" i="4"/>
  <c r="L13" i="4" s="1"/>
  <c r="N16" i="4"/>
  <c r="N13" i="4" s="1"/>
  <c r="O16" i="4"/>
  <c r="O13" i="4" s="1"/>
  <c r="Q16" i="4"/>
  <c r="Q13" i="4" s="1"/>
  <c r="R16" i="4"/>
  <c r="R13" i="4" s="1"/>
  <c r="T16" i="4"/>
  <c r="T13" i="4" s="1"/>
  <c r="T8" i="4" s="1"/>
  <c r="C39" i="3" s="1"/>
  <c r="H39" i="3" s="1"/>
  <c r="C16" i="4"/>
  <c r="C13" i="4" s="1"/>
  <c r="F8" i="4" l="1"/>
  <c r="C10" i="3" s="1"/>
  <c r="H10" i="3" s="1"/>
  <c r="C8" i="4"/>
  <c r="C9" i="3" s="1"/>
  <c r="L8" i="4"/>
  <c r="C21" i="3" s="1"/>
  <c r="H21" i="3" s="1"/>
  <c r="K8" i="4"/>
  <c r="C27" i="3" s="1"/>
  <c r="R8" i="4"/>
  <c r="C32" i="3" s="1"/>
  <c r="H32" i="3" s="1"/>
  <c r="Q8" i="4"/>
  <c r="C38" i="3" s="1"/>
  <c r="C37" i="3" s="1"/>
  <c r="H13" i="3"/>
  <c r="H9" i="3"/>
  <c r="I8" i="4"/>
  <c r="C20" i="3" s="1"/>
  <c r="O8" i="4"/>
  <c r="C31" i="3" s="1"/>
  <c r="H8" i="4"/>
  <c r="H14" i="3" s="1"/>
  <c r="N8" i="4"/>
  <c r="C28" i="3" s="1"/>
  <c r="H28" i="3" s="1"/>
  <c r="C8" i="3" l="1"/>
  <c r="H8" i="3"/>
  <c r="C26" i="3"/>
  <c r="H27" i="3"/>
  <c r="H26" i="3" s="1"/>
  <c r="H20" i="3"/>
  <c r="H19" i="3" s="1"/>
  <c r="C19" i="3"/>
  <c r="H38" i="3"/>
  <c r="H37" i="3" s="1"/>
  <c r="H31" i="3"/>
  <c r="H30" i="3" s="1"/>
  <c r="C30" i="3"/>
  <c r="H1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Чертов Дмитрий Андреевич</author>
  </authors>
  <commentList>
    <comment ref="Q3" authorId="0" shapeId="0" xr:uid="{82083302-F54B-4262-9AD5-864A3A18F5F4}">
      <text>
        <r>
          <rPr>
            <b/>
            <sz val="9"/>
            <color indexed="81"/>
            <rFont val="Tahoma"/>
            <family val="2"/>
            <charset val="204"/>
          </rPr>
          <t>По объектам 2022 года - 0 тыс. руб.</t>
        </r>
      </text>
    </comment>
    <comment ref="A6" authorId="0" shapeId="0" xr:uid="{A369DC5F-6546-4ED2-89A2-83FBA88C5C7E}">
      <text>
        <r>
          <rPr>
            <b/>
            <sz val="9"/>
            <color indexed="81"/>
            <rFont val="Tahoma"/>
            <family val="2"/>
            <charset val="204"/>
          </rPr>
          <t>Строки необходимо добавлять с сохранением выпадающих списков</t>
        </r>
      </text>
    </comment>
    <comment ref="K6" authorId="0" shapeId="0" xr:uid="{8C45F39C-AB1D-48E3-83CB-3A07B2A4408A}">
      <text>
        <r>
          <rPr>
            <b/>
            <sz val="9"/>
            <color indexed="81"/>
            <rFont val="Tahoma"/>
            <family val="2"/>
            <charset val="204"/>
          </rPr>
          <t>Дополнительный признак только для ВЛ на металлических опорах напряжением 27,5-60 кВ либо 110 кВ и выше</t>
        </r>
      </text>
    </comment>
    <comment ref="H18" authorId="0" shapeId="0" xr:uid="{773746D7-3FEA-4E69-AE94-0B7A5174FEBC}">
      <text>
        <r>
          <rPr>
            <b/>
            <sz val="9"/>
            <color indexed="81"/>
            <rFont val="Tahoma"/>
            <family val="2"/>
            <charset val="204"/>
          </rPr>
          <t xml:space="preserve">Дополнительный признак только для РП (в т.ч. КРН и КРУН наружной установки) и ПП
</t>
        </r>
      </text>
    </comment>
    <comment ref="N42" authorId="0" shapeId="0" xr:uid="{6C68EFD7-08C2-4761-BD15-2B322958006B}">
      <text>
        <r>
          <rPr>
            <b/>
            <sz val="9"/>
            <color indexed="81"/>
            <rFont val="Tahoma"/>
            <family val="2"/>
            <charset val="204"/>
          </rPr>
          <t>Для приборов прямого включения - только 0,4 кВ и ниже
Для приборов косвенного включения - все уровни, кроме 0,4 кВ и ниже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Нагих Алина Сергеевна</author>
    <author>Овчинникова Алина Сергеевна</author>
  </authors>
  <commentList>
    <comment ref="P4" authorId="0" shapeId="0" xr:uid="{0808E848-68EE-452A-9629-E1ED2B8579BF}">
      <text>
        <r>
          <rPr>
            <b/>
            <sz val="9"/>
            <color indexed="81"/>
            <rFont val="Tahoma"/>
            <family val="2"/>
            <charset val="204"/>
          </rPr>
          <t>прогнозная величина платы за ТП, определенная на основе фактических данных о заявителях, обратившихся за рассрочкой за последний год, но не ниже документально подтвержденных данных о заявителях, обратившихся за рассрочкой на следующий период регулирования</t>
        </r>
      </text>
    </comment>
    <comment ref="H14" authorId="1" shapeId="0" xr:uid="{1622BE14-E267-462F-946A-DE607AB2BFD8}">
      <text>
        <r>
          <rPr>
            <sz val="9"/>
            <color indexed="81"/>
            <rFont val="Tahoma"/>
            <family val="2"/>
            <charset val="204"/>
          </rPr>
          <t xml:space="preserve">значение ключевой ставки ЦБ РФ от 15.06.21 (5,50 %) + 2 п.п.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Нагих Алина Сергеевна</author>
  </authors>
  <commentList>
    <comment ref="L5" authorId="0" shapeId="0" xr:uid="{A7A34D16-F072-4699-8085-6607A938CF4D}">
      <text>
        <r>
          <rPr>
            <b/>
            <sz val="9"/>
            <color indexed="81"/>
            <rFont val="Tahoma"/>
            <family val="2"/>
            <charset val="204"/>
          </rPr>
          <t>сведения о фактической стоимости нового строительства в целях технологического присоединения должны быть согласованы с перечнем объектов, представляемым в рамках расчета единых стандартизированных ставок</t>
        </r>
      </text>
    </comment>
    <comment ref="B10" authorId="0" shapeId="0" xr:uid="{F3FC27F8-1988-4D3F-BF48-C8C1AD6F27AA}">
      <text>
        <r>
          <rPr>
            <b/>
            <sz val="9"/>
            <color indexed="81"/>
            <rFont val="Tahoma"/>
            <family val="2"/>
            <charset val="204"/>
          </rPr>
          <t>это всего лишь пример</t>
        </r>
      </text>
    </comment>
    <comment ref="B44" authorId="0" shapeId="0" xr:uid="{D2DF854D-8B08-4165-B075-92C34F004A54}">
      <text>
        <r>
          <rPr>
            <b/>
            <sz val="9"/>
            <color indexed="81"/>
            <rFont val="Tahoma"/>
            <family val="2"/>
            <charset val="204"/>
          </rPr>
          <t>это всего лишь пример</t>
        </r>
      </text>
    </comment>
  </commentList>
</comments>
</file>

<file path=xl/sharedStrings.xml><?xml version="1.0" encoding="utf-8"?>
<sst xmlns="http://schemas.openxmlformats.org/spreadsheetml/2006/main" count="1371" uniqueCount="562">
  <si>
    <t>Объект электросетевого хозяйства/Средство коммерческого учета электрической энергии (мощности)</t>
  </si>
  <si>
    <t>×</t>
  </si>
  <si>
    <t>&lt;пообъектная расшифровка&gt;</t>
  </si>
  <si>
    <t>1. Строительство воздушных линий</t>
  </si>
  <si>
    <t>2. Строительство кабельных линий</t>
  </si>
  <si>
    <t>3. Строительство пунктов секционирования</t>
  </si>
  <si>
    <t>4.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</si>
  <si>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5. Строительство распределительных трансформаторных подстанций (РТП) с уровнем напряжения до 35 кВ</t>
  </si>
  <si>
    <t>6. Строительство центров питания, подстанций уровнем напряжения 35 кВ и выше (ПС)</t>
  </si>
  <si>
    <t>7. Обеспечение средствами коммерческого учета электрической энергии (мощности)</t>
  </si>
  <si>
    <t>№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</si>
  <si>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</si>
  <si>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color theme="1"/>
        <rFont val="Times New Roman"/>
        <family val="1"/>
        <charset val="204"/>
      </rPr>
      <t>1</t>
    </r>
  </si>
  <si>
    <t>Количество технологических присоединений (шт.)</t>
  </si>
  <si>
    <t>2018 год</t>
  </si>
  <si>
    <t>2019 год</t>
  </si>
  <si>
    <t>Подготовка и выдача сетевой организацией технических условий Заявителю, в том числе:</t>
  </si>
  <si>
    <t>по временной схеме электроснабжения</t>
  </si>
  <si>
    <t>по постоянной схеме электроснабжения</t>
  </si>
  <si>
    <t>1.1</t>
  </si>
  <si>
    <t>1.2</t>
  </si>
  <si>
    <t>2.2</t>
  </si>
  <si>
    <t>2.1</t>
  </si>
  <si>
    <t>Приложение № 2</t>
  </si>
  <si>
    <t>Приложение № 1</t>
  </si>
  <si>
    <t>Показатели</t>
  </si>
  <si>
    <t>Приложение № 3</t>
  </si>
  <si>
    <t>Данные за 2018 год</t>
  </si>
  <si>
    <t>Данные за 2019 год</t>
  </si>
  <si>
    <t>1.5.</t>
  </si>
  <si>
    <t>Вспомогательные материалы</t>
  </si>
  <si>
    <t>Энергия на хозяйственные нужды</t>
  </si>
  <si>
    <t>Оплата труда ППП</t>
  </si>
  <si>
    <t>Отчисления на страховые взносы</t>
  </si>
  <si>
    <t>Прочие расходы, всего, в том числе:</t>
  </si>
  <si>
    <t>услуги связи</t>
  </si>
  <si>
    <t>расходы на охрану и пожарную безопасность</t>
  </si>
  <si>
    <t>плата за аренду имущества</t>
  </si>
  <si>
    <t>Внереализационные расходы, всего</t>
  </si>
  <si>
    <t>работы и услуги производственного характера</t>
  </si>
  <si>
    <t>расходы на услуги банков</t>
  </si>
  <si>
    <t>% за пользование кредитом</t>
  </si>
  <si>
    <t>прочие обоснованные расходы</t>
  </si>
  <si>
    <t>тыс. руб.</t>
  </si>
  <si>
    <t>Постоянная схема электроснабжения</t>
  </si>
  <si>
    <t>Временная схема электроснабжения</t>
  </si>
  <si>
    <t>денежные выплаты социального 
характера (по Коллективному договору)</t>
  </si>
  <si>
    <t>другие прочие расходы, связанные 
с производством и реализацией</t>
  </si>
  <si>
    <t>налоги и сборы, уменьшающие налогооблагаемую 
базу на прибыль организаций, всего</t>
  </si>
  <si>
    <t>Расходы по выполнению мероприятий 
по технологическому присоединению, всего</t>
  </si>
  <si>
    <t>работы и услуги непроизводственного 
характера, в том числе:</t>
  </si>
  <si>
    <t>расходы на информационное обслуживание, 
иные услуги, связанные с деятельностью 
по технологическому присоединению</t>
  </si>
  <si>
    <t>1</t>
  </si>
  <si>
    <t>1.3</t>
  </si>
  <si>
    <t>1.4</t>
  </si>
  <si>
    <t>1.5.1</t>
  </si>
  <si>
    <t>1.5.2</t>
  </si>
  <si>
    <t>1.5.3</t>
  </si>
  <si>
    <t>1.5.3.1</t>
  </si>
  <si>
    <t>1.5.3.2</t>
  </si>
  <si>
    <t>1.5.3.3</t>
  </si>
  <si>
    <t>1.5.3.4</t>
  </si>
  <si>
    <t>1.5.3.5</t>
  </si>
  <si>
    <t>1.6</t>
  </si>
  <si>
    <t>1.6.1</t>
  </si>
  <si>
    <t>1.6.2</t>
  </si>
  <si>
    <t>1.6.3</t>
  </si>
  <si>
    <t>1.6.4</t>
  </si>
  <si>
    <t>№
п/п</t>
  </si>
  <si>
    <t>ставка платы</t>
  </si>
  <si>
    <t>1.</t>
  </si>
  <si>
    <t>Расходы на выполнение организационно-технических мероприятий, связанные с осуществлением технологического присоединения</t>
  </si>
  <si>
    <t>1.1.</t>
  </si>
  <si>
    <t>1.2.</t>
  </si>
  <si>
    <t>2.</t>
  </si>
  <si>
    <t>2.1.</t>
  </si>
  <si>
    <t>строительство воздушных линий</t>
  </si>
  <si>
    <t>на деревянных опорах</t>
  </si>
  <si>
    <t xml:space="preserve">0,4 кВ, до 50 кв.мм включительно, 1 цепь </t>
  </si>
  <si>
    <t>0,4 кВ, до 50 кв.мм включительно, 2 цепи</t>
  </si>
  <si>
    <t>на железобетонных опорах</t>
  </si>
  <si>
    <t>2.2.</t>
  </si>
  <si>
    <t>строительство кабельных линий</t>
  </si>
  <si>
    <t>0,4 кВ, до 50 кв.мм включительно, 1 кабель</t>
  </si>
  <si>
    <t>0,4 кВ, до 50 кв.мм включительно, 2 кабеля</t>
  </si>
  <si>
    <t>2.3.</t>
  </si>
  <si>
    <t>строительство пунктов секционирования</t>
  </si>
  <si>
    <t>коммутационное устройство 0,4 кВ</t>
  </si>
  <si>
    <t>распределительное устройство 6(10) кВ</t>
  </si>
  <si>
    <t>2.4.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</si>
  <si>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</si>
  <si>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столбового типа (СКТП)</t>
  </si>
  <si>
    <t>КТП- 25 кВА включительно</t>
  </si>
  <si>
    <t>КТП-40 кВА</t>
  </si>
  <si>
    <t>КТП- 63 кВА</t>
  </si>
  <si>
    <t>КТП- 100 кВА</t>
  </si>
  <si>
    <t xml:space="preserve">КТП- 160 кВА </t>
  </si>
  <si>
    <t>КТП- 250 кВА</t>
  </si>
  <si>
    <t>мачтового типа (МКТП)</t>
  </si>
  <si>
    <t>киоскового типа (ККТП)</t>
  </si>
  <si>
    <t>КТП-400 кВА</t>
  </si>
  <si>
    <t>КТП-630 кВА</t>
  </si>
  <si>
    <t>КТП- 2х25 кВА включительно</t>
  </si>
  <si>
    <t>КТП-2х40 кВА</t>
  </si>
  <si>
    <t>КТП-2х 63 кВА</t>
  </si>
  <si>
    <t>КТП- 2х100 кВА</t>
  </si>
  <si>
    <t xml:space="preserve">КТП- 2х160 кВА </t>
  </si>
  <si>
    <t>КТП- 2х250 кВА</t>
  </si>
  <si>
    <t>КТП-2х400 кВА</t>
  </si>
  <si>
    <t>КТП-2х630 кВА</t>
  </si>
  <si>
    <t xml:space="preserve">КТП-2х1000 кВА </t>
  </si>
  <si>
    <t>блочного типа (БКТП)</t>
  </si>
  <si>
    <t>БКТП- 160 кВА</t>
  </si>
  <si>
    <t>БКТП- 250 кВА</t>
  </si>
  <si>
    <t>БКТП- 400 кВА</t>
  </si>
  <si>
    <t>БКТП- 630 кВА</t>
  </si>
  <si>
    <t>БКТП- 2х160 кВА</t>
  </si>
  <si>
    <t>БКТП- 2х250 кВА</t>
  </si>
  <si>
    <t>БКТП- 2х400 кВА</t>
  </si>
  <si>
    <t>БКТП- 2х630 кВА</t>
  </si>
  <si>
    <t xml:space="preserve">БКТП- 2х1000 кВА </t>
  </si>
  <si>
    <t>2.1.КС</t>
  </si>
  <si>
    <t>3.</t>
  </si>
  <si>
    <t xml:space="preserve">Суммарный размер платы за технологическое присоединение </t>
  </si>
  <si>
    <t>3.1.</t>
  </si>
  <si>
    <t>3.2.</t>
  </si>
  <si>
    <t xml:space="preserve">Плановое количество договоров на осуществление технологическое присоединение к электрическим сетям (плановое количество членов объединений (организаций), указанных в п.9 Методических указаний по определению размера платы за технологическое присоединение, утвержденных приказом ФАС России от 29.08.2017 № 1135/17 (шт.) </t>
  </si>
  <si>
    <t>4.</t>
  </si>
  <si>
    <t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</t>
  </si>
  <si>
    <t>Расчет размера расходов, связанных с предоставлением беспроцентной рассрочкой платежей по оплате технологического присоединения энергопринимающих устройств максимальной мощностью свыше 15 и до 150 кВт</t>
  </si>
  <si>
    <t xml:space="preserve">№ п/п </t>
  </si>
  <si>
    <t>Фактически заключенные договора 
(дата и номер)</t>
  </si>
  <si>
    <t>Сумма по договору/
суммарный размер платы за ТП</t>
  </si>
  <si>
    <t>1 кв.</t>
  </si>
  <si>
    <t>2 кв.</t>
  </si>
  <si>
    <t>3 кв.</t>
  </si>
  <si>
    <t>4 кв.</t>
  </si>
  <si>
    <t>ВСЕГО</t>
  </si>
  <si>
    <t>Заявитель</t>
  </si>
  <si>
    <t>№ и дата договора</t>
  </si>
  <si>
    <t>тыс.руб.</t>
  </si>
  <si>
    <t>...</t>
  </si>
  <si>
    <t>Суммарный размер платы за технологическое присоединение, тыс.руб., в т.ч.:</t>
  </si>
  <si>
    <t>Суммарный размер платы за технологическое присоединение, подлежащий беспроцентной рассрочке</t>
  </si>
  <si>
    <t xml:space="preserve">№ п/п    </t>
  </si>
  <si>
    <t>Квартал, на который рассчитывается размер расходов, связанных с предоставлением беспроцентной рассрочки</t>
  </si>
  <si>
    <t>Расходы, связанные с предоставлением беспроцентной рассрочки, тыс. руб.</t>
  </si>
  <si>
    <t xml:space="preserve">в отношении суммарного размера платы за технологическое присоединение в 1 квартале </t>
  </si>
  <si>
    <t xml:space="preserve">в отношении суммарного размера платы за технологическое присоединение во 2 квартале </t>
  </si>
  <si>
    <t xml:space="preserve">в отношении суммарного размера платы за технологическое присоединение в 3 квартале </t>
  </si>
  <si>
    <t xml:space="preserve">в отношении суммарного размера платы за технологическое присоединение в 4 квартале </t>
  </si>
  <si>
    <t>всего в год</t>
  </si>
  <si>
    <t>1 квартал</t>
  </si>
  <si>
    <t>2 квартал</t>
  </si>
  <si>
    <t>1.3.</t>
  </si>
  <si>
    <t>3 квартал</t>
  </si>
  <si>
    <t>1.4.</t>
  </si>
  <si>
    <t>4 квартал</t>
  </si>
  <si>
    <t>5 квартал</t>
  </si>
  <si>
    <t>6 квартал</t>
  </si>
  <si>
    <t>7 квартал</t>
  </si>
  <si>
    <t>8 квартал</t>
  </si>
  <si>
    <t>9 квартал</t>
  </si>
  <si>
    <t>10 квартал</t>
  </si>
  <si>
    <t>3.3.</t>
  </si>
  <si>
    <t>11 квартал</t>
  </si>
  <si>
    <t>3.4.</t>
  </si>
  <si>
    <t>12 квартал</t>
  </si>
  <si>
    <t>4.1.</t>
  </si>
  <si>
    <t>13 квартал</t>
  </si>
  <si>
    <t>4.2.</t>
  </si>
  <si>
    <t>14 квартал</t>
  </si>
  <si>
    <t>4.3.</t>
  </si>
  <si>
    <t>15 квартал</t>
  </si>
  <si>
    <t>4.4.</t>
  </si>
  <si>
    <t>16 квартал</t>
  </si>
  <si>
    <t>5.</t>
  </si>
  <si>
    <t>ИТОГО</t>
  </si>
  <si>
    <t>1.1.КС</t>
  </si>
  <si>
    <t>1.2.КС</t>
  </si>
  <si>
    <t>1.3.КС</t>
  </si>
  <si>
    <t>1.4.КС</t>
  </si>
  <si>
    <t>2.2.КС</t>
  </si>
  <si>
    <t>2.3.КС</t>
  </si>
  <si>
    <t>2.4.КС</t>
  </si>
  <si>
    <t>Приложение № 4</t>
  </si>
  <si>
    <t>Приложение № 6</t>
  </si>
  <si>
    <r>
      <t xml:space="preserve">Расчет размера расходов, связанных с осуществлением технологического присоединения энергопринимающих устройств максимальной мощностью, не превышающей 15 кВт включительно, не включаемых состав  платы за технологическое присоединение на территориях </t>
    </r>
    <r>
      <rPr>
        <sz val="9"/>
        <color rgb="FFFF0000"/>
        <rFont val="Times New Roman"/>
        <family val="1"/>
        <charset val="204"/>
      </rPr>
      <t>(территории, относящиеся к городским населенным пунктам)</t>
    </r>
  </si>
  <si>
    <r>
      <t xml:space="preserve">Расчет размера расходов, связанных с осуществлением технологического присоединения энергопринимающих устройств максимальной мощностью до 150 кВт 
включительно,не включаемых состав  платы за технологическое присоединение </t>
    </r>
    <r>
      <rPr>
        <sz val="9"/>
        <color rgb="FFFF0000"/>
        <rFont val="Times New Roman"/>
        <family val="1"/>
        <charset val="204"/>
      </rPr>
      <t>(территории, относящиеся к городским населенным пунктам)</t>
    </r>
  </si>
  <si>
    <t>Приложение № 8</t>
  </si>
  <si>
    <t>Фактические расходы на строительство объекта/на обеспечение средствами коммерческого учета электрической энергии (мощности), тыс. руб.</t>
  </si>
  <si>
    <t>на уровне напряжения 20 кВ и менее и мощности менее 670 кВт</t>
  </si>
  <si>
    <t>Объем максимальной мощности (кВт), присоединенной (присоединяемой) в рамках технологического присоединения</t>
  </si>
  <si>
    <t>Местоположение объекта (выбрать из списка)</t>
  </si>
  <si>
    <t>Год ввода объекта (выбрать из списка)</t>
  </si>
  <si>
    <t>Уровень напряжения (выбрать из списка), кВ</t>
  </si>
  <si>
    <t>Сведения по льготной категории до 15 кВт, 
3 категория надежности электроснабжения</t>
  </si>
  <si>
    <t xml:space="preserve">Количество технологических 
присоединений за 2018 год, шт. </t>
  </si>
  <si>
    <t xml:space="preserve">Количество технологических 
присоединений за 2019 год, шт. </t>
  </si>
  <si>
    <t>2</t>
  </si>
  <si>
    <t>3</t>
  </si>
  <si>
    <t>4</t>
  </si>
  <si>
    <t>0,4 кВ, от 50 до 95 кв.мм включительно, 1 цепь</t>
  </si>
  <si>
    <t>0,4 кВ, от 95 до 185 кв.мм включительно, 1 цепь</t>
  </si>
  <si>
    <t>0,4 кВ, от 50 до 95 кв.мм включительно, 2 цепи</t>
  </si>
  <si>
    <t>0,4 кВ, от 95 до 185 кв.мм включительно, 2 цепи</t>
  </si>
  <si>
    <t>0,4 кВ, от 50 до 95 кв.мм включительно, 1 кабель</t>
  </si>
  <si>
    <t>0,4 кВ, от 95 до 185 кв.мм включительно, 1 кабель</t>
  </si>
  <si>
    <t>0,4 кВ, от 185 до 240 кв.мм включительно, 1 кабель</t>
  </si>
  <si>
    <t>0,4 кВ, от 50 до 95 кв.мм включительно, 2 кабеля</t>
  </si>
  <si>
    <t>0,4 кВ, от 95 до 185 кв.мм включительно, 2 кабеля</t>
  </si>
  <si>
    <t>0,4 кВ, от 185 до 240 кв.мм включительно, 2 кабеля</t>
  </si>
  <si>
    <t>коммутационная ячейка с вакуумным выключателем  6(10) кВ внутренней установки</t>
  </si>
  <si>
    <t>разъединитель 6(10) кВ</t>
  </si>
  <si>
    <t xml:space="preserve">БКТП- 2х2500 кВА </t>
  </si>
  <si>
    <t xml:space="preserve">БКТП- 1000 кВА </t>
  </si>
  <si>
    <t xml:space="preserve">КТП-1000 кВА </t>
  </si>
  <si>
    <t>БКТП- 1000 кВА</t>
  </si>
  <si>
    <t>КТП-1000 кВА</t>
  </si>
  <si>
    <t>Сведения о выполнении мероприятий по технологическому присоединению, предусмотренных подпунктами «а» и «в» пункта 16 Методических указаний</t>
  </si>
  <si>
    <t>Сведения о фактических расходах на выполнение мероприятий по технологическому присоединению, предусмотренных подпунктами «а» и «в» пункта 16 Методических указаний</t>
  </si>
  <si>
    <t>Расходы по каждому мероприятию (тыс. руб.)</t>
  </si>
  <si>
    <t>прочие</t>
  </si>
  <si>
    <t>Признак j 
(выбрать 
из списка)</t>
  </si>
  <si>
    <t>Признак k 
(выбрать 
из списка)</t>
  </si>
  <si>
    <t>Признак l 
(выбрать 
из списка)</t>
  </si>
  <si>
    <t>Признак m 
(выбрать 
из списка)</t>
  </si>
  <si>
    <t>Признак n 
(выбрать 
из списка)</t>
  </si>
  <si>
    <t>Признак o 
(выбрать 
из списка)</t>
  </si>
  <si>
    <t>Льготная категория присоединения (да/нет), либо иной объект инвестиционной программы 
(выбрать из списка)</t>
  </si>
  <si>
    <t>Наименование 
и местоположение присоединяемого объекта (иного объекта инвестиционной программы)</t>
  </si>
  <si>
    <t>Заявитель 
(для физических лиц - Ф.И.О., для юридических лиц - наименование 
с указанием ОПФ, 
для индивидуальных предпринимателей - ИП Ф.И.О., для иных объектов инвестиционной программы - прочерк)</t>
  </si>
  <si>
    <t>2020 год</t>
  </si>
  <si>
    <t xml:space="preserve">Количество технологических 
присоединений за 2020 год, шт. </t>
  </si>
  <si>
    <t>Данные за 2020 год</t>
  </si>
  <si>
    <r>
      <t xml:space="preserve">Сведения о строительстве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
</t>
    </r>
    <r>
      <rPr>
        <b/>
        <sz val="11"/>
        <color rgb="FFFF0000"/>
        <rFont val="Times New Roman"/>
        <family val="1"/>
        <charset val="204"/>
      </rPr>
      <t>(фактические данные за 2018-2020 годы заполняются полностью, данные в части объектов, планируемых к вводу в 2022 году, заполняются только в части технологического присоединения льготных категорий заявителей)</t>
    </r>
  </si>
  <si>
    <t>Реквизиты заключенного 
договора о технологическом присоединении (№ и дата), 
в случае отсутствия заключенного договора - реквизиты заявки о технологическом присоединении, для иных объектов инвестиционной программы - идентификатор инвестиционного проекта</t>
  </si>
  <si>
    <r>
      <t>Фактические данные за предыдущий период регулирования (</t>
    </r>
    <r>
      <rPr>
        <b/>
        <sz val="9"/>
        <color indexed="8"/>
        <rFont val="Times New Roman"/>
        <family val="1"/>
        <charset val="204"/>
      </rPr>
      <t>2020 год</t>
    </r>
    <r>
      <rPr>
        <sz val="9"/>
        <color indexed="8"/>
        <rFont val="Times New Roman"/>
        <family val="1"/>
        <charset val="204"/>
      </rPr>
      <t>)</t>
    </r>
  </si>
  <si>
    <r>
      <t>Расчетные (фактические) данные за предыдущий период регулирования (</t>
    </r>
    <r>
      <rPr>
        <b/>
        <sz val="9"/>
        <color indexed="8"/>
        <rFont val="Times New Roman"/>
        <family val="1"/>
        <charset val="204"/>
      </rPr>
      <t>2020 год</t>
    </r>
    <r>
      <rPr>
        <sz val="9"/>
        <color indexed="8"/>
        <rFont val="Times New Roman"/>
        <family val="1"/>
        <charset val="204"/>
      </rPr>
      <t>)</t>
    </r>
  </si>
  <si>
    <t>Протяженность 
по трассе
(для линий электропередачи), м</t>
  </si>
  <si>
    <t>2.1.1</t>
  </si>
  <si>
    <t>2.1.2</t>
  </si>
  <si>
    <t>2.2.1</t>
  </si>
  <si>
    <t>2.2.2</t>
  </si>
  <si>
    <t>Проверка сетевой организацией выполнения заявителем технических условий, в том числе:</t>
  </si>
  <si>
    <t>Подготовка 
и выдача сетевой организацией технических условий заявителю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</si>
  <si>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</si>
  <si>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</si>
  <si>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Расходы 
на одно присоединение (руб. на одно ТП)</t>
  </si>
  <si>
    <t>подготовка и выдача сетевой организацией технических условий (ТУ) заявителю</t>
  </si>
  <si>
    <t>проверка сетевой организацией выполнения заявителем ТУ 
(с учетом подпунктов «г»-«е» пункта 19 Методических указаний)</t>
  </si>
  <si>
    <t>Размер платы за технологическое 
присоединение (руб. без НДС)</t>
  </si>
  <si>
    <t>Фактические данные за 2020 год</t>
  </si>
  <si>
    <t>Ожидаемые данные за 2021 год</t>
  </si>
  <si>
    <t>Плановые показатели на 2022 год</t>
  </si>
  <si>
    <t>1 год (2019 г.):</t>
  </si>
  <si>
    <t>2 год (2020 г.):</t>
  </si>
  <si>
    <t>3 год (2021 г.):</t>
  </si>
  <si>
    <t>4 год (2022 г.):</t>
  </si>
  <si>
    <t>Расходы по мероприятиям «последней мили», 
связанные с осуществлением технологического присоединения</t>
  </si>
  <si>
    <t>коммутационная ячейка с выключателем нагрузки или разъединителем 6(10) кВ</t>
  </si>
  <si>
    <t>обеспечение средствами коммерческого учета электрической энергии (мощности)</t>
  </si>
  <si>
    <t>0,4 кВ и ниже, однофазный прямого включения</t>
  </si>
  <si>
    <t>0,4 кВ и ниже, трехфазный полукосвенного включения</t>
  </si>
  <si>
    <t>0,4 кВ и ниже, трехфазный прямого включения</t>
  </si>
  <si>
    <t xml:space="preserve">мощность, 
длина линий, количество </t>
  </si>
  <si>
    <t>(кВт, км, шт., точек учета)</t>
  </si>
  <si>
    <t>(тыс. руб.)</t>
  </si>
  <si>
    <t>(руб./кВт, руб./км, руб./шт., рублей 
за точку учета)</t>
  </si>
  <si>
    <t>расходы 
на строительство объекта, 
на обеспечение средствами коммерческого учета электрической энергии</t>
  </si>
  <si>
    <t>2.3</t>
  </si>
  <si>
    <t>2.4</t>
  </si>
  <si>
    <t>2.4.1</t>
  </si>
  <si>
    <t>2.4.2</t>
  </si>
  <si>
    <t>2.4.3</t>
  </si>
  <si>
    <t>2.4.4</t>
  </si>
  <si>
    <t>2.5</t>
  </si>
  <si>
    <t>2.1.КС.1</t>
  </si>
  <si>
    <t>2.1.КС.2</t>
  </si>
  <si>
    <t>2.4.КС.1</t>
  </si>
  <si>
    <t>2.4.КС.2</t>
  </si>
  <si>
    <t>2.4.КС.3</t>
  </si>
  <si>
    <t>2.4.КС.4</t>
  </si>
  <si>
    <t>2.5.КС</t>
  </si>
  <si>
    <t>3.1</t>
  </si>
  <si>
    <t>3.2</t>
  </si>
  <si>
    <t>районы, приравненные к районам Крайнего Севера:</t>
  </si>
  <si>
    <t>районы Крайнего Севера:</t>
  </si>
  <si>
    <t>1.1.1</t>
  </si>
  <si>
    <t>1.1.2</t>
  </si>
  <si>
    <t>1.4.1</t>
  </si>
  <si>
    <t>1.4.2</t>
  </si>
  <si>
    <t>1.4.3</t>
  </si>
  <si>
    <t>1.4.4</t>
  </si>
  <si>
    <t>1.1.КС.1</t>
  </si>
  <si>
    <t>1.1.КС.2</t>
  </si>
  <si>
    <t>1.4.КС.1</t>
  </si>
  <si>
    <t>1.4.КС.2</t>
  </si>
  <si>
    <t>1.4.КС.3</t>
  </si>
  <si>
    <t>1.4.КС.4</t>
  </si>
  <si>
    <t>Примечание: ключевая ставка ЦБ РФ составляет 5,50 %. В соответствии с п.87 Основ ценообразования в области регулируемых цен (тарифов) в электроэнергетике, утв. постановлением Правительства от 29.12.2011 № 1178, ставка увеличена на 2 процентных пункта и принята для расчета в размере 7,50 %</t>
  </si>
  <si>
    <t>Количество технологических 
присоединений за 2022 год (документально подтвержденное заявками), шт., в том числе:</t>
  </si>
  <si>
    <t>4.1</t>
  </si>
  <si>
    <t>4.2</t>
  </si>
  <si>
    <t>по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</si>
  <si>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Максимальная мощность, присоединенная (присоединяемая) 
в рамках технологического присоединения 
(либо мощность, введенная 
по инвестиционной программе), кВт</t>
  </si>
  <si>
    <t>Реестр исполненных договоров об осуществлении льготного технологического присоединения к электрическим сетям</t>
  </si>
  <si>
    <t>Договор ТП</t>
  </si>
  <si>
    <t>Наименование заявителя</t>
  </si>
  <si>
    <t>Наименование и местоположение присоединяемого объекта</t>
  </si>
  <si>
    <t>Схема электро-снабжения (список)</t>
  </si>
  <si>
    <t>Категория энергопринимающих устройств (список)</t>
  </si>
  <si>
    <t>Присоединяемая мощность, кВт</t>
  </si>
  <si>
    <t>Укрупненный перечень объектов строительства</t>
  </si>
  <si>
    <t>Номер и дата акта ТП</t>
  </si>
  <si>
    <t>Дата (дд.мм.гг.)</t>
  </si>
  <si>
    <t>№</t>
  </si>
  <si>
    <t>мощность</t>
  </si>
  <si>
    <t>относится ли ко льготным категориям</t>
  </si>
  <si>
    <t>максимальная</t>
  </si>
  <si>
    <t>без учета ранее присоединенной</t>
  </si>
  <si>
    <t>Всего, в т.ч.:</t>
  </si>
  <si>
    <t>мер-я, предусм.                   пп "а", "в" п. 16 МУ № 1135/17</t>
  </si>
  <si>
    <t>ВЛ</t>
  </si>
  <si>
    <t>КЛ</t>
  </si>
  <si>
    <t>ТП</t>
  </si>
  <si>
    <t>пункты секционирования</t>
  </si>
  <si>
    <t>ИТОГО до 15 кВт</t>
  </si>
  <si>
    <t>постоянная</t>
  </si>
  <si>
    <t>до 15 кВт</t>
  </si>
  <si>
    <t>да</t>
  </si>
  <si>
    <t>ПРИМЕР</t>
  </si>
  <si>
    <t>…</t>
  </si>
  <si>
    <t xml:space="preserve"> </t>
  </si>
  <si>
    <t>Итого 2018 год</t>
  </si>
  <si>
    <t>ИТОГО до 150 кВт</t>
  </si>
  <si>
    <t>исп.</t>
  </si>
  <si>
    <t>Ф.И.О., должность</t>
  </si>
  <si>
    <t>тел., e-mail</t>
  </si>
  <si>
    <t>подпись</t>
  </si>
  <si>
    <t>за 2018-2020 годы</t>
  </si>
  <si>
    <t>Затраты, относимые на себестоимость (согласно бухгалтерскому учету), руб.</t>
  </si>
  <si>
    <t>Итого 2019 год</t>
  </si>
  <si>
    <t>Итого 2020 год</t>
  </si>
  <si>
    <t>Приложение № 9</t>
  </si>
  <si>
    <t>стандартизированная тарифная ставка</t>
  </si>
  <si>
    <t xml:space="preserve">6(10) кВ, до 50 кв.мм включительно, 1 цепь </t>
  </si>
  <si>
    <t>6(10) кВ, от 50 до 95 кв.мм включительно, 1 цепь</t>
  </si>
  <si>
    <t>6(10) кВ, от 95 до 185 кв.мм включительно, 1 цепь</t>
  </si>
  <si>
    <t xml:space="preserve">6(10) кВ, до 50 кв.мм включительно, 2 цепи </t>
  </si>
  <si>
    <t>6(10) кВ, от 50 до 95 кв.мм включительно, 2 цепи</t>
  </si>
  <si>
    <t>6(10) кВ, от 95 до 185 кв.мм включительно, 2 цепи</t>
  </si>
  <si>
    <t>6(10) кВ кВ, до 50 кв. мм включительно, 1 кабель</t>
  </si>
  <si>
    <t>6(10) кВ кВ, от 50 до 95 кв. мм включительно, 1 кабель</t>
  </si>
  <si>
    <t>6(10) кВ кВ, от 95 до 185 кв. мм включительно, 1 кабель</t>
  </si>
  <si>
    <t>6(10) кВ кВ, от 185 до 240 кв.мм включительно, 1 кабель</t>
  </si>
  <si>
    <t>6(10) кВ кВ, до 50 кв. мм включительно, 2 кабеля</t>
  </si>
  <si>
    <t>6(10) кВ кВ, от 50 до 95 кв. мм включительно, 2 кабеля</t>
  </si>
  <si>
    <t>6(10) кВ кВ, от 95 до 185 кв. мм включительно, 2 кабеля</t>
  </si>
  <si>
    <t>6(10) кВ кВ, от 185 до 240 кв.мм включительно, 2 кабеля</t>
  </si>
  <si>
    <r>
      <t xml:space="preserve">Проверка сетевой организацией выполнения технических условий заявителями, указанными 
в </t>
    </r>
    <r>
      <rPr>
        <u/>
        <sz val="11"/>
        <color theme="1"/>
        <rFont val="Times New Roman"/>
        <family val="1"/>
        <charset val="204"/>
      </rPr>
      <t>абзаце девятом пункта 24</t>
    </r>
    <r>
      <rPr>
        <sz val="11"/>
        <color theme="1"/>
        <rFont val="Times New Roman"/>
        <family val="1"/>
        <charset val="204"/>
      </rPr>
      <t xml:space="preserve"> Методических указаний по определению размера платы за технологическое присоединение к электрическим сетям</t>
    </r>
  </si>
  <si>
    <r>
      <t xml:space="preserve">Выдача сетевой организацией акта об осуществлении технологического присоединения заявителям, указанным в </t>
    </r>
    <r>
      <rPr>
        <u/>
        <sz val="11"/>
        <color theme="1"/>
        <rFont val="Times New Roman"/>
        <family val="1"/>
        <charset val="204"/>
      </rPr>
      <t>абзаце восьмом пункта 24</t>
    </r>
    <r>
      <rPr>
        <sz val="11"/>
        <color theme="1"/>
        <rFont val="Times New Roman"/>
        <family val="1"/>
        <charset val="204"/>
      </rPr>
      <t xml:space="preserve"> Методических указаний по определению размера платы за технологическое присоединение к электрическим сетям</t>
    </r>
  </si>
  <si>
    <t>по заявителям, указанным в абзаце девятом пункта 24 Методических указаний по определению размера платы за технологическое присоединение 
к электрическим сетям</t>
  </si>
  <si>
    <t>мощность, 
длина линий, количество</t>
  </si>
  <si>
    <t>Расходы по мероприятиям «последней мили» и расходы на обеспечение средствами коммерческого учета электрической энергии, связанные с осуществлением технологического присоединения</t>
  </si>
  <si>
    <t>коммутационная ячейка с вакуумным выключателем 6(10) кВ наружной установки</t>
  </si>
  <si>
    <t>(руб./кВт, 
руб./км, руб./шт.)</t>
  </si>
  <si>
    <t>(кВт, км, шт.)</t>
  </si>
  <si>
    <t>расходы 
на строительство объекта</t>
  </si>
  <si>
    <t>акт</t>
  </si>
  <si>
    <t>пров</t>
  </si>
  <si>
    <t>ТУ</t>
  </si>
  <si>
    <t>Разн</t>
  </si>
  <si>
    <t>шт</t>
  </si>
  <si>
    <t>Директор МУП МГЭС ____________________В. И. Бугор</t>
  </si>
  <si>
    <t>4-ТП/2018</t>
  </si>
  <si>
    <t>гражданка Саханкова Евгения Алексеевна</t>
  </si>
  <si>
    <t>ВРУ  торгового павильона «Фаэтон». для увеличения максимальной мощности  торгового павильона «Фаэтон»», расположенного по адресу:  Архангельская область, г. Мирный, по ул. Степанченко, д. 5А, принадлежащем Заявителю на праве собственности.</t>
  </si>
  <si>
    <t>9-ТП/2018</t>
  </si>
  <si>
    <t>Общество с ограниченной ответственностью «Атлека»</t>
  </si>
  <si>
    <t>строительной площадки в ВРУ многоквартирного жилого дома № 6 по ул. Пушкина, в г. Мирный Архангельской области</t>
  </si>
  <si>
    <t>временная</t>
  </si>
  <si>
    <t>26-ТП/2018</t>
  </si>
  <si>
    <t>ООО «Т2 Мобайл»</t>
  </si>
  <si>
    <t>для обеспечения электроснабжения базовой станции сотовой связи № 168 Теле2, расположенной в г. Мирный, Архангельская область, на крыше дома № 2 по ул. Циргвавы</t>
  </si>
  <si>
    <t>28-ТП/2018</t>
  </si>
  <si>
    <t>Индивидуальный предприниматель Смыслова Татьяна Николаевна</t>
  </si>
  <si>
    <t>вводно-распределительное объекта  «Здание мини завода ЖБИ и производства товарной плитки»</t>
  </si>
  <si>
    <t>32-ТП/2018</t>
  </si>
  <si>
    <t>ООО "Севдорстройсервис"</t>
  </si>
  <si>
    <t>воздушная линия электропередач 0,4кВ</t>
  </si>
  <si>
    <t>ТП-45/11 от 01.02.2018</t>
  </si>
  <si>
    <t>ТП-39/11 от 26.03.2018</t>
  </si>
  <si>
    <t>ТП-30/1 от 20.12.2018</t>
  </si>
  <si>
    <t>ЦРП-8А/2 от 10.12.2018</t>
  </si>
  <si>
    <t>ТП-30/2 от 28.12.2018</t>
  </si>
  <si>
    <t>1-ТП/2019</t>
  </si>
  <si>
    <t>гражданин Попов Павел Анатольевич</t>
  </si>
  <si>
    <t>нежилого помещения</t>
  </si>
  <si>
    <t>-</t>
  </si>
  <si>
    <t>10-ТП/2019</t>
  </si>
  <si>
    <t>гражданин Мосин Александр Николаевич</t>
  </si>
  <si>
    <t>электроприёмники гаража №8ВР, блок 3В.</t>
  </si>
  <si>
    <t>11-ТП/2019</t>
  </si>
  <si>
    <t>гражданин Акопджанов Андрей Николаевич</t>
  </si>
  <si>
    <t>электроприёмники гаража №47ВР, блок 3В.</t>
  </si>
  <si>
    <t>12-ТП/2019</t>
  </si>
  <si>
    <t>гражданин Донцов Александр Иванович</t>
  </si>
  <si>
    <t>электроприёмники гаража №5ВР, блок 3В.</t>
  </si>
  <si>
    <t>13-ТП/2019</t>
  </si>
  <si>
    <t>гражданин Фадеев Алексей Викторович</t>
  </si>
  <si>
    <t>электроприёмники гаража №48ВР, блок 3В.</t>
  </si>
  <si>
    <t>14-ТП/2019</t>
  </si>
  <si>
    <t>гражданин Гайфуллин Булат  Рахимуллович</t>
  </si>
  <si>
    <t>электроприёмники гаража №49ВР, блок 3В.</t>
  </si>
  <si>
    <t>15-ТП/2019</t>
  </si>
  <si>
    <t>гражданин Белёвцев Юрий Иванович</t>
  </si>
  <si>
    <t>электроприёмники гаража №7ВР, блок 3В.</t>
  </si>
  <si>
    <t>16-ТП/2019</t>
  </si>
  <si>
    <t>гражданин Батоногов Алексей Евгеньевич</t>
  </si>
  <si>
    <t>электроприёмники гаража №46ВР, блок 3В.</t>
  </si>
  <si>
    <t>17-ТП/2019</t>
  </si>
  <si>
    <t>гражданин Крючков Игорь Викторович</t>
  </si>
  <si>
    <t>электроприёмники гаража №44ВР, блок 3В.</t>
  </si>
  <si>
    <t>18-ТП/2019</t>
  </si>
  <si>
    <t>гражданин Быковский Владимир Николаевич</t>
  </si>
  <si>
    <t>электроприёмники гаража №9ВР, блок 3В.</t>
  </si>
  <si>
    <t>19-ТП/2019</t>
  </si>
  <si>
    <t>гражданин Введенский Игорь Александрович</t>
  </si>
  <si>
    <t>электроприёмники гаража №45ВР, блок 3В.</t>
  </si>
  <si>
    <t>20-ТП/2019</t>
  </si>
  <si>
    <t>гражданин Миюсов Андрей Алексеевич</t>
  </si>
  <si>
    <t>электроприёмники гаража №50ВР, блок 3В.</t>
  </si>
  <si>
    <t>23-ТП/2019</t>
  </si>
  <si>
    <t>Общество с ограниченной ответственностью «Проектный реставрационно-строительный центр «РесСтрой» (ООО «РесСтрой»)</t>
  </si>
  <si>
    <t>строительной площадки в ВРУ многоквартирного жилого дома № 3А по ул. Ломоносова, в г. Мирный Архангельской области</t>
  </si>
  <si>
    <t>28-ТП/2019</t>
  </si>
  <si>
    <t>гражданин Парамонов Александр Владимирович</t>
  </si>
  <si>
    <t>электроприёмники гаража ул. Лесная, д.4</t>
  </si>
  <si>
    <t>29-ТП/2019</t>
  </si>
  <si>
    <t>гражданин Денисов Юрий Николаевич</t>
  </si>
  <si>
    <t>электроприёмники гаража №4ВР, блок 3В.</t>
  </si>
  <si>
    <t>35-ТП/2019</t>
  </si>
  <si>
    <t>гражданин Рагимханов Даир Киримханович</t>
  </si>
  <si>
    <t>электроприёмники гаража №3ВР, блок 3В.</t>
  </si>
  <si>
    <t>38-ТП/2019</t>
  </si>
  <si>
    <t>Индивидуальный предприниматель Онисько Валентина Алексеевна</t>
  </si>
  <si>
    <t>электроприёмники магазина "Фея"</t>
  </si>
  <si>
    <t>39-ТП/2019</t>
  </si>
  <si>
    <t>гражданин Борток Борис Борисович</t>
  </si>
  <si>
    <t>электроприёмники гаража №1ВР, блок 3В.</t>
  </si>
  <si>
    <t>42-ТП/2019</t>
  </si>
  <si>
    <t>Общество с ограниченной ответственностью «МегСтрой»</t>
  </si>
  <si>
    <t>для обеспечения электроснабжения работ по капитальному ремонту общего имущества в многоквартирном доме  № 41 по ул. Ленина, в г. Мирный, Архангельской области.</t>
  </si>
  <si>
    <t>56-ТП/2019</t>
  </si>
  <si>
    <t>Общество с ограниченной ответственность "Исток-Проходка"</t>
  </si>
  <si>
    <t>вводно-распределительное устройство строительного блок-контейнера</t>
  </si>
  <si>
    <t>ТП-38/8 от 19.02.2019</t>
  </si>
  <si>
    <t>ТП-ГЗ/2 от 11.04.2019</t>
  </si>
  <si>
    <t>ТП-ГЗ/3 от 11.04.2019</t>
  </si>
  <si>
    <t>ТП-ГЗ/5 от 23.04.2019</t>
  </si>
  <si>
    <t>15 от 16.05.2019</t>
  </si>
  <si>
    <t>ТП-ГЗ/6 от 24.04.2019</t>
  </si>
  <si>
    <t>ТП-ГЗ/13 от 18.06.2019</t>
  </si>
  <si>
    <t>ТП-ГЗ/7 от 15.05.2019</t>
  </si>
  <si>
    <t>ТП-ГЗ/4 от 17.04.2019</t>
  </si>
  <si>
    <t>ТП-ГЗ/11 от 31.05.2019</t>
  </si>
  <si>
    <t>ТП-ГЗ/16 от 04.10.2019</t>
  </si>
  <si>
    <t>ТП-ГЗ/9 от 16.05.2019</t>
  </si>
  <si>
    <t>ТП-41А/6 от 08.04.2019</t>
  </si>
  <si>
    <t>ЦРП-13/21 от 23.07.2019</t>
  </si>
  <si>
    <t>ТП-ГЗ/10 от 13.05.2019</t>
  </si>
  <si>
    <t>ТП-ГЗ/14 от 02.07.2019</t>
  </si>
  <si>
    <t>ТП-40/12 от 06.08.2019</t>
  </si>
  <si>
    <t>ТП-ГЗ/15 от 09.09.2019</t>
  </si>
  <si>
    <t>ТП-40/12 от 25.12.2019</t>
  </si>
  <si>
    <t>42 от 06.12.2019</t>
  </si>
  <si>
    <t>18-ТП/2018</t>
  </si>
  <si>
    <t>Общество с ограниченной ответственностью «КОМПАНИЯ АТЛАНТ»</t>
  </si>
  <si>
    <t>ВРУ строительной площадки строительных работ здания по адресу  ул. Чайковского, 6б, в г. Мирный Архангельской области</t>
  </si>
  <si>
    <t>ТП-40/15 от 21.05.2020</t>
  </si>
  <si>
    <t>2-ТП/2019</t>
  </si>
  <si>
    <t>Индивидуальный предприниматель Словогородская Светлана Александровна</t>
  </si>
  <si>
    <t>здания склада</t>
  </si>
  <si>
    <t>ТП-37/9 от 30.12.2020</t>
  </si>
  <si>
    <t>1-ТП/2020</t>
  </si>
  <si>
    <t>гражданка Калинина Людмила Николаевна</t>
  </si>
  <si>
    <t>электроприемники ½ здания гаража, расположенного по адресу: Архангельская область, г. Мирный, ул. Неделина, д. 5а</t>
  </si>
  <si>
    <t>ТП-37/7 от 23.11.2020</t>
  </si>
  <si>
    <t>2-ТП/2020</t>
  </si>
  <si>
    <t>гражданин Стеценко Сергей Дмитриевич</t>
  </si>
  <si>
    <t>½ гаража, расположенного по адресу: Архангельская область, г. Мирный, ул. Неделина, д. 5а</t>
  </si>
  <si>
    <t>ТП-37/8 от 23.11.2020</t>
  </si>
  <si>
    <t>6-ТП/2020</t>
  </si>
  <si>
    <t>ИП Топорищева А. А.</t>
  </si>
  <si>
    <t>Магазин "Мясолюбов"</t>
  </si>
  <si>
    <t>ТП-40/14 от12.03.2020</t>
  </si>
  <si>
    <t>5-ТП/2018</t>
  </si>
  <si>
    <t>Федеральное государственное унитарное предприятие «Главное военно-строительное управление № 14»</t>
  </si>
  <si>
    <t>передвижного РЩ объекта «Строительство здания контрольно-пропускного пункта «Буря-2», шифр 500/КПП-2</t>
  </si>
  <si>
    <t>до 150 кВт</t>
  </si>
  <si>
    <t>ТП-21/2 от 05.02.2018</t>
  </si>
  <si>
    <t>7-ТП/2018</t>
  </si>
  <si>
    <t>вводно-распределительное устройство нежилого здания для обеспечения электроснабжения нежилого здания, расположенного в г. Мирный, Архангельская область, ул. Лесная, д.4.</t>
  </si>
  <si>
    <t>ЦРП-13/15 от 24.09.2018</t>
  </si>
  <si>
    <t>20-ТП/2018</t>
  </si>
  <si>
    <t>Фёдорова Светлана Дмитриевна</t>
  </si>
  <si>
    <t>вводно-распределительное устройство нежилого помещения, нежилого помещения на первом этаже двухэтажного здания, расположенного в г. Мирный, Архангельская область, ул. Дзержинского, 8а</t>
  </si>
  <si>
    <t>ТП-16/2 от 25.09.2018</t>
  </si>
  <si>
    <t>21-ТП/2018</t>
  </si>
  <si>
    <t>ООО "СтройТрест"</t>
  </si>
  <si>
    <t>вводно-распределительное устройство нежилого помещения,  электроснабжения нежилого помещения, расположенного в г. Мирный, Архангельская область, ул. Ленина 25, помещение 2-Н</t>
  </si>
  <si>
    <t>ТП-22А/2 от 29.11.2018</t>
  </si>
  <si>
    <t>22-ТП/2018</t>
  </si>
  <si>
    <t>ООО "Авалон"</t>
  </si>
  <si>
    <t>для обеспечения электроснабжения нежилого здания, расположенного в г. Мирный, Архангельская область, ул. Неделина, д. 14 корпус 1.</t>
  </si>
  <si>
    <t>ТП-38А/2 от 27.09.2018</t>
  </si>
  <si>
    <t>22-ТП/2019</t>
  </si>
  <si>
    <t>здание магазина "Север"</t>
  </si>
  <si>
    <t>ТП-37А/10 от 19.07.2019</t>
  </si>
  <si>
    <t>31-ТП/2019</t>
  </si>
  <si>
    <t>гражданин Яценко Сергей Владимирович</t>
  </si>
  <si>
    <t>в связи с увеличением ранее присоединенной мощности, необходимой для обеспечения электроснабжения здания магазина, расположенного в г. Мирный, Архангельская область, ул. Неделина, у дома № 14</t>
  </si>
  <si>
    <t>ТП-38/9 от 23.05.2019</t>
  </si>
  <si>
    <t>33-ТП/2019</t>
  </si>
  <si>
    <t>гражданин Сологуб Георгий Петрович</t>
  </si>
  <si>
    <t>ВЛИ-0,4кВ (электроприемники гаражного блока 10Б) – КТПН ГЗ, построенной заявителем самостоятельно</t>
  </si>
  <si>
    <t>ТП-ГЗ/12 от 31.05.2019</t>
  </si>
  <si>
    <t>34-ТП/2019</t>
  </si>
  <si>
    <t>Индивидуальный предприниматель Пойда Виталия Петровна</t>
  </si>
  <si>
    <t>в связи с увеличением ранее присоединенной мощности, необходимой для обеспечения электроснабжения здания магазина, расположенного в г. Мирный, Архангельская область, ул. Ломоносова № 14А,</t>
  </si>
  <si>
    <t>ТП-35М/9 от 25.06.2019</t>
  </si>
  <si>
    <t>41-ТП/2019</t>
  </si>
  <si>
    <t>Муниципального казённого дошкольного образовательного учреждения детский сад № 9 «Сказка» города Мирного Архангельской области (МКДОУ № 9)</t>
  </si>
  <si>
    <t>в связи с увеличением ранее присоединенной мощности, необходимой для обеспечения электроснабжения здания детского сада, расположенного в г. Мирный, Архангельская область, ул. Овчинникова, д. 4А</t>
  </si>
  <si>
    <t>ТП-22А/6 от 29.11.2019</t>
  </si>
  <si>
    <t>55-ТП/2019</t>
  </si>
  <si>
    <t>Общество с ограниченной отвественностью "Сеть пекарен Ширшов"</t>
  </si>
  <si>
    <t>ВРУ торговых павильонов</t>
  </si>
  <si>
    <t>ТП-8/13 от 25.12.2019</t>
  </si>
  <si>
    <t>47-ТП/2019</t>
  </si>
  <si>
    <t xml:space="preserve">ВРУ строительной площадки, </t>
  </si>
  <si>
    <t>ТП-8/14 от 04.03.2020</t>
  </si>
  <si>
    <t>3-ТП/2020</t>
  </si>
  <si>
    <t>передвижного РЩ объекта «Реконструкция спортивно-оздоровительного комплекса «Звезда» в г. Мирный (Архангельская область), (шифр объекта 500/СОК-3)</t>
  </si>
  <si>
    <t>ТП-50А/6 от 11.03.2020</t>
  </si>
  <si>
    <t>24-ТП/2020</t>
  </si>
  <si>
    <t>Общество с ограниченной ответственностью "Строй Сервис"</t>
  </si>
  <si>
    <t>ВРУ нежилого помещения № 1</t>
  </si>
  <si>
    <t>ТП-30/13 от 10.11.2020</t>
  </si>
  <si>
    <t>25-ТП/2020</t>
  </si>
  <si>
    <t>Общество с ограниченной ответственностью "Золотые Пески-Мирный"</t>
  </si>
  <si>
    <t>ВРУ нежилого помещения № 2</t>
  </si>
  <si>
    <t>ТП-30/14 от 11.12.2020</t>
  </si>
  <si>
    <t>28-ТП/2020</t>
  </si>
  <si>
    <t>Индивидуальный предприниматель Кирющенко Виктор Васильевич</t>
  </si>
  <si>
    <t>ВРУ бани, ул. Кооперативная, д.4</t>
  </si>
  <si>
    <t>ЦРП-13/23 от 03.11.2020</t>
  </si>
  <si>
    <t>29-ТП/2020</t>
  </si>
  <si>
    <t>для обеспечения электроснабжения нежилого здания, расположенного в г. Мирный, Архангельская область, ул. Чайковского, д. 6б, и принадлежащего Заявителю на праве собственности, кадастровый номер 29:25:010118:1.</t>
  </si>
  <si>
    <t>ТП-40/16 от 06.11.2020</t>
  </si>
  <si>
    <t>МУП МГЭС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</si>
</sst>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"/>
    <numFmt numFmtId="166" formatCode="0.0000"/>
    <numFmt numFmtId="167" formatCode="dd/mm/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name val="Arial Cyr"/>
      <charset val="204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2" fillId="0" borderId="0"/>
  </cellStyleXfs>
  <cellXfs count="225">
    <xf numFmtId="0" fontId="0" fillId="0" borderId="0" xfId="0"/>
    <xf numFmtId="0" fontId="4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49" fontId="0" fillId="0" borderId="0" xfId="0" applyNumberFormat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164" fontId="4" fillId="3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8" fillId="0" borderId="0" xfId="1" applyFont="1" applyProtection="1">
      <protection locked="0"/>
    </xf>
    <xf numFmtId="0" fontId="8" fillId="0" borderId="0" xfId="1" applyFont="1" applyAlignment="1" applyProtection="1">
      <alignment horizontal="right"/>
      <protection locked="0"/>
    </xf>
    <xf numFmtId="2" fontId="11" fillId="0" borderId="0" xfId="1" applyNumberFormat="1" applyFont="1" applyAlignment="1">
      <alignment horizontal="center" wrapText="1"/>
    </xf>
    <xf numFmtId="2" fontId="12" fillId="0" borderId="0" xfId="1" applyNumberFormat="1" applyFont="1" applyAlignment="1">
      <alignment horizontal="center" wrapText="1"/>
    </xf>
    <xf numFmtId="14" fontId="11" fillId="0" borderId="0" xfId="1" applyNumberFormat="1" applyFont="1" applyAlignment="1">
      <alignment horizontal="center" wrapText="1"/>
    </xf>
    <xf numFmtId="2" fontId="13" fillId="0" borderId="0" xfId="1" applyNumberFormat="1" applyFont="1" applyAlignment="1">
      <alignment horizontal="center" wrapText="1"/>
    </xf>
    <xf numFmtId="0" fontId="14" fillId="0" borderId="0" xfId="1" applyFont="1" applyProtection="1">
      <protection locked="0"/>
    </xf>
    <xf numFmtId="0" fontId="14" fillId="0" borderId="0" xfId="1" applyFont="1" applyAlignment="1" applyProtection="1">
      <alignment horizontal="right"/>
      <protection locked="0"/>
    </xf>
    <xf numFmtId="2" fontId="20" fillId="0" borderId="0" xfId="1" applyNumberFormat="1" applyFont="1" applyAlignment="1">
      <alignment horizontal="left"/>
    </xf>
    <xf numFmtId="2" fontId="20" fillId="0" borderId="0" xfId="1" applyNumberFormat="1" applyFont="1" applyAlignment="1">
      <alignment horizontal="center" wrapText="1"/>
    </xf>
    <xf numFmtId="2" fontId="21" fillId="0" borderId="0" xfId="1" applyNumberFormat="1" applyFont="1" applyAlignment="1">
      <alignment horizontal="center" wrapText="1"/>
    </xf>
    <xf numFmtId="14" fontId="21" fillId="0" borderId="0" xfId="1" applyNumberFormat="1" applyFont="1" applyAlignment="1">
      <alignment horizontal="center" wrapText="1"/>
    </xf>
    <xf numFmtId="2" fontId="22" fillId="0" borderId="0" xfId="1" applyNumberFormat="1" applyFont="1" applyAlignment="1">
      <alignment horizontal="left" vertical="center"/>
    </xf>
    <xf numFmtId="2" fontId="22" fillId="0" borderId="0" xfId="1" applyNumberFormat="1" applyFont="1" applyAlignment="1">
      <alignment vertical="top" wrapText="1"/>
    </xf>
    <xf numFmtId="1" fontId="25" fillId="0" borderId="0" xfId="1" applyNumberFormat="1" applyFont="1" applyAlignment="1">
      <alignment horizontal="center" wrapText="1"/>
    </xf>
    <xf numFmtId="2" fontId="25" fillId="0" borderId="0" xfId="1" applyNumberFormat="1" applyFont="1" applyAlignment="1">
      <alignment horizontal="center" wrapText="1"/>
    </xf>
    <xf numFmtId="2" fontId="22" fillId="0" borderId="0" xfId="1" applyNumberFormat="1" applyFont="1" applyAlignment="1">
      <alignment horizontal="center" wrapText="1"/>
    </xf>
    <xf numFmtId="14" fontId="25" fillId="0" borderId="0" xfId="1" applyNumberFormat="1" applyFont="1" applyAlignment="1">
      <alignment horizontal="center" wrapText="1"/>
    </xf>
    <xf numFmtId="166" fontId="20" fillId="0" borderId="0" xfId="1" applyNumberFormat="1" applyFont="1" applyAlignment="1">
      <alignment horizontal="center" wrapText="1"/>
    </xf>
    <xf numFmtId="1" fontId="24" fillId="0" borderId="0" xfId="1" applyNumberFormat="1" applyFont="1" applyAlignment="1">
      <alignment horizontal="center" wrapText="1"/>
    </xf>
    <xf numFmtId="1" fontId="20" fillId="0" borderId="0" xfId="1" applyNumberFormat="1" applyFont="1" applyAlignment="1">
      <alignment horizontal="center" wrapText="1"/>
    </xf>
    <xf numFmtId="2" fontId="26" fillId="0" borderId="0" xfId="1" applyNumberFormat="1" applyFont="1" applyAlignment="1">
      <alignment horizontal="center" wrapText="1"/>
    </xf>
    <xf numFmtId="0" fontId="14" fillId="0" borderId="0" xfId="1" applyFont="1" applyAlignment="1" applyProtection="1">
      <alignment horizontal="right" vertical="top"/>
      <protection locked="0"/>
    </xf>
    <xf numFmtId="0" fontId="14" fillId="0" borderId="1" xfId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vertical="center" wrapText="1"/>
      <protection locked="0"/>
    </xf>
    <xf numFmtId="164" fontId="14" fillId="5" borderId="1" xfId="1" applyNumberFormat="1" applyFont="1" applyFill="1" applyBorder="1" applyAlignment="1" applyProtection="1">
      <alignment horizontal="right" vertical="center" wrapText="1" indent="1"/>
      <protection locked="0"/>
    </xf>
    <xf numFmtId="4" fontId="14" fillId="5" borderId="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6" borderId="1" xfId="1" applyNumberFormat="1" applyFont="1" applyFill="1" applyBorder="1" applyAlignment="1" applyProtection="1">
      <alignment horizontal="right" vertical="center" wrapText="1" indent="1"/>
      <protection locked="0"/>
    </xf>
    <xf numFmtId="4" fontId="14" fillId="0" borderId="1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1" xfId="1" applyNumberFormat="1" applyFont="1" applyBorder="1" applyAlignment="1" applyProtection="1">
      <alignment horizontal="right" vertical="center" wrapText="1" indent="1"/>
      <protection locked="0"/>
    </xf>
    <xf numFmtId="4" fontId="14" fillId="0" borderId="1" xfId="1" applyNumberFormat="1" applyFont="1" applyBorder="1" applyAlignment="1" applyProtection="1">
      <alignment vertical="center" wrapText="1"/>
      <protection locked="0"/>
    </xf>
    <xf numFmtId="0" fontId="14" fillId="7" borderId="1" xfId="1" applyFont="1" applyFill="1" applyBorder="1" applyAlignment="1" applyProtection="1">
      <alignment vertical="center" wrapText="1"/>
      <protection locked="0"/>
    </xf>
    <xf numFmtId="164" fontId="14" fillId="7" borderId="1" xfId="1" applyNumberFormat="1" applyFont="1" applyFill="1" applyBorder="1" applyAlignment="1" applyProtection="1">
      <alignment vertical="center" wrapText="1"/>
      <protection locked="0"/>
    </xf>
    <xf numFmtId="0" fontId="14" fillId="6" borderId="1" xfId="1" applyFont="1" applyFill="1" applyBorder="1" applyAlignment="1" applyProtection="1">
      <alignment vertical="center" wrapText="1"/>
      <protection locked="0"/>
    </xf>
    <xf numFmtId="165" fontId="14" fillId="7" borderId="1" xfId="1" applyNumberFormat="1" applyFont="1" applyFill="1" applyBorder="1" applyAlignment="1" applyProtection="1">
      <alignment vertical="center" wrapText="1"/>
      <protection locked="0"/>
    </xf>
    <xf numFmtId="0" fontId="14" fillId="2" borderId="1" xfId="1" applyFont="1" applyFill="1" applyBorder="1" applyAlignment="1" applyProtection="1">
      <alignment vertical="center" wrapText="1"/>
      <protection locked="0"/>
    </xf>
    <xf numFmtId="3" fontId="14" fillId="0" borderId="1" xfId="1" applyNumberFormat="1" applyFont="1" applyBorder="1" applyAlignment="1" applyProtection="1">
      <alignment vertical="center" wrapText="1"/>
      <protection locked="0"/>
    </xf>
    <xf numFmtId="164" fontId="14" fillId="0" borderId="1" xfId="1" applyNumberFormat="1" applyFont="1" applyBorder="1" applyAlignment="1" applyProtection="1">
      <alignment vertical="center" wrapText="1"/>
      <protection locked="0"/>
    </xf>
    <xf numFmtId="165" fontId="14" fillId="0" borderId="1" xfId="1" applyNumberFormat="1" applyFont="1" applyBorder="1" applyAlignment="1" applyProtection="1">
      <alignment vertical="center" wrapText="1"/>
      <protection locked="0"/>
    </xf>
    <xf numFmtId="164" fontId="14" fillId="2" borderId="1" xfId="1" applyNumberFormat="1" applyFont="1" applyFill="1" applyBorder="1" applyAlignment="1" applyProtection="1">
      <alignment vertical="center" wrapText="1"/>
      <protection locked="0"/>
    </xf>
    <xf numFmtId="0" fontId="14" fillId="0" borderId="1" xfId="1" applyFont="1" applyBorder="1" applyAlignment="1" applyProtection="1">
      <alignment horizontal="left" vertical="center" wrapText="1" shrinkToFit="1"/>
      <protection locked="0"/>
    </xf>
    <xf numFmtId="0" fontId="15" fillId="2" borderId="1" xfId="1" applyFont="1" applyFill="1" applyBorder="1" applyAlignment="1" applyProtection="1">
      <alignment vertical="center" wrapText="1"/>
      <protection locked="0"/>
    </xf>
    <xf numFmtId="164" fontId="14" fillId="2" borderId="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8" borderId="1" xfId="1" applyNumberFormat="1" applyFont="1" applyFill="1" applyBorder="1" applyAlignment="1" applyProtection="1">
      <alignment horizontal="right" vertical="center" wrapText="1" indent="1"/>
      <protection locked="0"/>
    </xf>
    <xf numFmtId="4" fontId="14" fillId="8" borderId="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9" borderId="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7" borderId="1" xfId="1" applyNumberFormat="1" applyFont="1" applyFill="1" applyBorder="1" applyAlignment="1" applyProtection="1">
      <alignment horizontal="right" vertical="center" wrapText="1" indent="1"/>
      <protection locked="0"/>
    </xf>
    <xf numFmtId="2" fontId="20" fillId="0" borderId="1" xfId="1" applyNumberFormat="1" applyFont="1" applyBorder="1" applyAlignment="1">
      <alignment horizontal="center" wrapText="1"/>
    </xf>
    <xf numFmtId="4" fontId="20" fillId="0" borderId="1" xfId="1" applyNumberFormat="1" applyFont="1" applyBorder="1" applyAlignment="1">
      <alignment horizontal="center" wrapText="1"/>
    </xf>
    <xf numFmtId="2" fontId="22" fillId="0" borderId="1" xfId="1" applyNumberFormat="1" applyFont="1" applyBorder="1" applyAlignment="1">
      <alignment horizontal="center" wrapText="1"/>
    </xf>
    <xf numFmtId="14" fontId="20" fillId="0" borderId="1" xfId="1" applyNumberFormat="1" applyFont="1" applyBorder="1" applyAlignment="1">
      <alignment horizontal="center" wrapText="1"/>
    </xf>
    <xf numFmtId="2" fontId="21" fillId="0" borderId="1" xfId="1" applyNumberFormat="1" applyFont="1" applyBorder="1" applyAlignment="1">
      <alignment horizontal="center" wrapText="1"/>
    </xf>
    <xf numFmtId="1" fontId="21" fillId="0" borderId="1" xfId="1" applyNumberFormat="1" applyFont="1" applyBorder="1" applyAlignment="1">
      <alignment horizontal="center" wrapText="1"/>
    </xf>
    <xf numFmtId="2" fontId="20" fillId="5" borderId="1" xfId="1" applyNumberFormat="1" applyFont="1" applyFill="1" applyBorder="1" applyAlignment="1">
      <alignment horizontal="center" wrapText="1"/>
    </xf>
    <xf numFmtId="4" fontId="23" fillId="0" borderId="1" xfId="1" applyNumberFormat="1" applyFont="1" applyBorder="1" applyAlignment="1">
      <alignment horizontal="center" vertical="center" wrapText="1"/>
    </xf>
    <xf numFmtId="1" fontId="24" fillId="0" borderId="1" xfId="1" applyNumberFormat="1" applyFont="1" applyBorder="1" applyAlignment="1">
      <alignment horizontal="center" wrapText="1"/>
    </xf>
    <xf numFmtId="1" fontId="25" fillId="0" borderId="1" xfId="1" applyNumberFormat="1" applyFont="1" applyBorder="1" applyAlignment="1">
      <alignment horizontal="center" wrapText="1"/>
    </xf>
    <xf numFmtId="2" fontId="25" fillId="0" borderId="1" xfId="1" applyNumberFormat="1" applyFont="1" applyBorder="1" applyAlignment="1">
      <alignment horizontal="left" wrapText="1"/>
    </xf>
    <xf numFmtId="2" fontId="22" fillId="5" borderId="1" xfId="1" applyNumberFormat="1" applyFont="1" applyFill="1" applyBorder="1" applyAlignment="1">
      <alignment horizontal="center" wrapText="1"/>
    </xf>
    <xf numFmtId="4" fontId="22" fillId="5" borderId="1" xfId="1" applyNumberFormat="1" applyFont="1" applyFill="1" applyBorder="1" applyAlignment="1">
      <alignment horizontal="center" wrapText="1"/>
    </xf>
    <xf numFmtId="0" fontId="20" fillId="0" borderId="1" xfId="1" applyFont="1" applyBorder="1" applyAlignment="1">
      <alignment horizontal="center" wrapText="1"/>
    </xf>
    <xf numFmtId="0" fontId="22" fillId="0" borderId="1" xfId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left" vertical="center" wrapText="1"/>
    </xf>
    <xf numFmtId="4" fontId="6" fillId="4" borderId="0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4" fontId="4" fillId="4" borderId="9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/>
    </xf>
    <xf numFmtId="3" fontId="6" fillId="4" borderId="9" xfId="0" applyNumberFormat="1" applyFont="1" applyFill="1" applyBorder="1" applyAlignment="1">
      <alignment horizontal="center" vertical="center" wrapText="1"/>
    </xf>
    <xf numFmtId="0" fontId="16" fillId="0" borderId="1" xfId="1" applyFont="1" applyBorder="1" applyAlignment="1" applyProtection="1">
      <alignment vertical="center" wrapText="1"/>
      <protection locked="0"/>
    </xf>
    <xf numFmtId="0" fontId="14" fillId="4" borderId="1" xfId="1" applyFont="1" applyFill="1" applyBorder="1" applyAlignment="1" applyProtection="1">
      <alignment vertical="center" wrapText="1"/>
      <protection locked="0"/>
    </xf>
    <xf numFmtId="0" fontId="16" fillId="4" borderId="1" xfId="1" applyFont="1" applyFill="1" applyBorder="1" applyAlignment="1" applyProtection="1">
      <alignment vertical="center" wrapText="1"/>
      <protection locked="0"/>
    </xf>
    <xf numFmtId="4" fontId="14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4" fontId="14" fillId="4" borderId="1" xfId="1" applyNumberFormat="1" applyFont="1" applyFill="1" applyBorder="1" applyAlignment="1" applyProtection="1">
      <alignment vertical="center" wrapText="1"/>
      <protection locked="0"/>
    </xf>
    <xf numFmtId="164" fontId="14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3" fontId="14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3" fontId="14" fillId="4" borderId="1" xfId="1" applyNumberFormat="1" applyFont="1" applyFill="1" applyBorder="1" applyProtection="1">
      <protection locked="0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14" fillId="0" borderId="1" xfId="1" applyFont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 applyProtection="1">
      <alignment vertical="center" wrapText="1"/>
      <protection locked="0"/>
    </xf>
    <xf numFmtId="4" fontId="14" fillId="7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" xfId="1" applyFont="1" applyBorder="1" applyAlignment="1" applyProtection="1">
      <alignment horizontal="center" vertical="center" wrapText="1"/>
      <protection locked="0"/>
    </xf>
    <xf numFmtId="49" fontId="14" fillId="0" borderId="1" xfId="1" applyNumberFormat="1" applyFont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 applyProtection="1">
      <alignment vertical="center" wrapText="1"/>
      <protection locked="0"/>
    </xf>
    <xf numFmtId="49" fontId="17" fillId="0" borderId="1" xfId="1" applyNumberFormat="1" applyFont="1" applyBorder="1" applyAlignment="1" applyProtection="1">
      <alignment horizontal="center" vertical="center" wrapText="1"/>
      <protection locked="0"/>
    </xf>
    <xf numFmtId="0" fontId="14" fillId="5" borderId="1" xfId="1" applyFont="1" applyFill="1" applyBorder="1" applyAlignment="1" applyProtection="1">
      <alignment horizontal="right" vertical="center" wrapText="1"/>
      <protection locked="0"/>
    </xf>
    <xf numFmtId="164" fontId="14" fillId="5" borderId="1" xfId="1" applyNumberFormat="1" applyFont="1" applyFill="1" applyBorder="1" applyAlignment="1" applyProtection="1">
      <alignment horizontal="right" vertical="center" wrapText="1"/>
      <protection locked="0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vertical="center" wrapText="1"/>
    </xf>
    <xf numFmtId="167" fontId="14" fillId="0" borderId="0" xfId="2" applyNumberFormat="1" applyFont="1" applyAlignment="1">
      <alignment horizontal="center" vertical="center" wrapText="1"/>
    </xf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horizontal="center" vertical="center" wrapText="1"/>
    </xf>
    <xf numFmtId="4" fontId="14" fillId="0" borderId="0" xfId="2" applyNumberFormat="1" applyFont="1" applyAlignment="1">
      <alignment vertical="center" wrapText="1"/>
    </xf>
    <xf numFmtId="0" fontId="18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4" fontId="30" fillId="0" borderId="19" xfId="2" applyNumberFormat="1" applyFont="1" applyBorder="1" applyAlignment="1">
      <alignment horizontal="center" vertical="center" wrapText="1"/>
    </xf>
    <xf numFmtId="4" fontId="18" fillId="5" borderId="10" xfId="2" applyNumberFormat="1" applyFont="1" applyFill="1" applyBorder="1" applyAlignment="1">
      <alignment horizontal="center" vertical="center" wrapText="1"/>
    </xf>
    <xf numFmtId="4" fontId="18" fillId="0" borderId="10" xfId="2" applyNumberFormat="1" applyFont="1" applyBorder="1" applyAlignment="1">
      <alignment horizontal="center" vertical="center" wrapText="1"/>
    </xf>
    <xf numFmtId="4" fontId="14" fillId="0" borderId="10" xfId="2" applyNumberFormat="1" applyFont="1" applyBorder="1" applyAlignment="1">
      <alignment horizontal="center" vertical="center" wrapText="1"/>
    </xf>
    <xf numFmtId="3" fontId="19" fillId="0" borderId="19" xfId="2" applyNumberFormat="1" applyFont="1" applyBorder="1" applyAlignment="1">
      <alignment horizontal="center" vertical="center" wrapText="1"/>
    </xf>
    <xf numFmtId="3" fontId="17" fillId="0" borderId="10" xfId="2" applyNumberFormat="1" applyFont="1" applyBorder="1" applyAlignment="1">
      <alignment horizontal="center" vertical="center" wrapText="1"/>
    </xf>
    <xf numFmtId="4" fontId="31" fillId="6" borderId="10" xfId="2" applyNumberFormat="1" applyFont="1" applyFill="1" applyBorder="1" applyAlignment="1">
      <alignment horizontal="left" vertical="center" wrapText="1"/>
    </xf>
    <xf numFmtId="0" fontId="17" fillId="0" borderId="0" xfId="2" applyFont="1" applyAlignment="1">
      <alignment vertical="center" wrapText="1"/>
    </xf>
    <xf numFmtId="167" fontId="17" fillId="6" borderId="10" xfId="2" applyNumberFormat="1" applyFont="1" applyFill="1" applyBorder="1" applyAlignment="1">
      <alignment horizontal="center" vertical="center" wrapText="1"/>
    </xf>
    <xf numFmtId="4" fontId="17" fillId="6" borderId="10" xfId="2" applyNumberFormat="1" applyFont="1" applyFill="1" applyBorder="1" applyAlignment="1">
      <alignment horizontal="left" vertical="center" wrapText="1"/>
    </xf>
    <xf numFmtId="1" fontId="17" fillId="6" borderId="10" xfId="2" applyNumberFormat="1" applyFont="1" applyFill="1" applyBorder="1" applyAlignment="1">
      <alignment horizontal="center" vertical="center" wrapText="1"/>
    </xf>
    <xf numFmtId="4" fontId="17" fillId="6" borderId="10" xfId="2" applyNumberFormat="1" applyFont="1" applyFill="1" applyBorder="1" applyAlignment="1">
      <alignment horizontal="center" vertical="center" wrapText="1"/>
    </xf>
    <xf numFmtId="3" fontId="31" fillId="0" borderId="10" xfId="2" applyNumberFormat="1" applyFont="1" applyBorder="1" applyAlignment="1">
      <alignment horizontal="center" vertical="center" wrapText="1"/>
    </xf>
    <xf numFmtId="4" fontId="19" fillId="5" borderId="10" xfId="2" applyNumberFormat="1" applyFont="1" applyFill="1" applyBorder="1" applyAlignment="1">
      <alignment horizontal="center" vertical="center" wrapText="1"/>
    </xf>
    <xf numFmtId="4" fontId="30" fillId="0" borderId="22" xfId="2" applyNumberFormat="1" applyFont="1" applyBorder="1" applyAlignment="1">
      <alignment horizontal="center" vertical="center" wrapText="1"/>
    </xf>
    <xf numFmtId="4" fontId="18" fillId="5" borderId="16" xfId="2" applyNumberFormat="1" applyFont="1" applyFill="1" applyBorder="1" applyAlignment="1">
      <alignment horizontal="center" vertical="center" wrapText="1"/>
    </xf>
    <xf numFmtId="4" fontId="18" fillId="0" borderId="16" xfId="2" applyNumberFormat="1" applyFont="1" applyBorder="1" applyAlignment="1">
      <alignment horizontal="center" vertical="center" wrapText="1"/>
    </xf>
    <xf numFmtId="4" fontId="14" fillId="0" borderId="16" xfId="2" applyNumberFormat="1" applyFont="1" applyBorder="1" applyAlignment="1">
      <alignment horizontal="center" vertical="center" wrapText="1"/>
    </xf>
    <xf numFmtId="0" fontId="14" fillId="0" borderId="0" xfId="2" applyFont="1" applyAlignment="1">
      <alignment horizontal="right"/>
    </xf>
    <xf numFmtId="0" fontId="14" fillId="0" borderId="0" xfId="2" applyFont="1"/>
    <xf numFmtId="0" fontId="29" fillId="0" borderId="2" xfId="2" applyFont="1" applyBorder="1" applyAlignment="1">
      <alignment horizontal="left"/>
    </xf>
    <xf numFmtId="0" fontId="4" fillId="0" borderId="0" xfId="2" applyFont="1"/>
    <xf numFmtId="0" fontId="29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top" wrapText="1"/>
    </xf>
    <xf numFmtId="0" fontId="14" fillId="0" borderId="1" xfId="1" applyFont="1" applyBorder="1" applyAlignment="1" applyProtection="1">
      <alignment horizontal="center" vertical="center" wrapText="1"/>
      <protection locked="0"/>
    </xf>
    <xf numFmtId="164" fontId="6" fillId="2" borderId="8" xfId="0" applyNumberFormat="1" applyFont="1" applyFill="1" applyBorder="1" applyAlignment="1">
      <alignment horizontal="center" vertical="center" wrapText="1"/>
    </xf>
    <xf numFmtId="0" fontId="33" fillId="0" borderId="0" xfId="0" applyFont="1"/>
    <xf numFmtId="1" fontId="17" fillId="6" borderId="10" xfId="2" applyNumberFormat="1" applyFont="1" applyFill="1" applyBorder="1" applyAlignment="1">
      <alignment horizontal="left" vertical="center" wrapText="1"/>
    </xf>
    <xf numFmtId="49" fontId="17" fillId="6" borderId="10" xfId="2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4" fillId="0" borderId="1" xfId="1" applyFont="1" applyBorder="1" applyAlignment="1" applyProtection="1">
      <alignment horizontal="center" vertical="center" wrapText="1"/>
      <protection locked="0"/>
    </xf>
    <xf numFmtId="0" fontId="14" fillId="0" borderId="0" xfId="1" applyFont="1" applyAlignment="1" applyProtection="1">
      <alignment horizontal="left" vertical="center" wrapText="1"/>
      <protection locked="0"/>
    </xf>
    <xf numFmtId="0" fontId="17" fillId="0" borderId="0" xfId="1" applyFont="1" applyAlignment="1" applyProtection="1">
      <alignment horizontal="left" vertical="center" wrapText="1"/>
      <protection locked="0"/>
    </xf>
    <xf numFmtId="0" fontId="17" fillId="0" borderId="1" xfId="1" applyFont="1" applyBorder="1" applyAlignment="1" applyProtection="1">
      <alignment horizontal="center" vertical="center" wrapText="1"/>
      <protection locked="0"/>
    </xf>
    <xf numFmtId="14" fontId="20" fillId="0" borderId="1" xfId="1" applyNumberFormat="1" applyFont="1" applyBorder="1" applyAlignment="1">
      <alignment horizontal="center" wrapText="1"/>
    </xf>
    <xf numFmtId="2" fontId="20" fillId="0" borderId="1" xfId="1" applyNumberFormat="1" applyFont="1" applyBorder="1" applyAlignment="1">
      <alignment horizontal="center" vertical="center" wrapText="1"/>
    </xf>
    <xf numFmtId="2" fontId="20" fillId="0" borderId="0" xfId="1" applyNumberFormat="1" applyFont="1" applyAlignment="1">
      <alignment horizontal="left" wrapText="1"/>
    </xf>
    <xf numFmtId="2" fontId="21" fillId="0" borderId="0" xfId="1" applyNumberFormat="1" applyFont="1" applyAlignment="1">
      <alignment horizontal="right" vertical="top" wrapText="1"/>
    </xf>
    <xf numFmtId="1" fontId="25" fillId="0" borderId="1" xfId="1" applyNumberFormat="1" applyFont="1" applyBorder="1" applyAlignment="1">
      <alignment horizont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wrapText="1"/>
    </xf>
    <xf numFmtId="0" fontId="22" fillId="0" borderId="1" xfId="1" applyFont="1" applyBorder="1" applyAlignment="1">
      <alignment horizontal="center" vertical="center" wrapText="1"/>
    </xf>
    <xf numFmtId="2" fontId="21" fillId="0" borderId="0" xfId="1" applyNumberFormat="1" applyFont="1" applyAlignment="1">
      <alignment horizontal="right" wrapText="1"/>
    </xf>
    <xf numFmtId="2" fontId="22" fillId="0" borderId="1" xfId="1" applyNumberFormat="1" applyFont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 vertical="center" wrapText="1"/>
    </xf>
    <xf numFmtId="2" fontId="20" fillId="0" borderId="1" xfId="1" applyNumberFormat="1" applyFont="1" applyBorder="1" applyAlignment="1">
      <alignment horizontal="center" wrapText="1"/>
    </xf>
    <xf numFmtId="0" fontId="14" fillId="0" borderId="0" xfId="2" applyFont="1" applyAlignment="1">
      <alignment horizontal="left" vertical="center" wrapText="1"/>
    </xf>
    <xf numFmtId="4" fontId="14" fillId="0" borderId="10" xfId="2" applyNumberFormat="1" applyFont="1" applyBorder="1" applyAlignment="1">
      <alignment horizontal="center" vertical="center" wrapText="1"/>
    </xf>
    <xf numFmtId="4" fontId="17" fillId="0" borderId="10" xfId="2" applyNumberFormat="1" applyFont="1" applyBorder="1" applyAlignment="1">
      <alignment horizontal="center" vertical="center" wrapText="1"/>
    </xf>
    <xf numFmtId="1" fontId="14" fillId="0" borderId="10" xfId="2" applyNumberFormat="1" applyFont="1" applyBorder="1" applyAlignment="1">
      <alignment horizontal="center" vertical="center" wrapText="1"/>
    </xf>
    <xf numFmtId="1" fontId="14" fillId="0" borderId="11" xfId="2" applyNumberFormat="1" applyFont="1" applyBorder="1" applyAlignment="1">
      <alignment horizontal="center" vertical="center" wrapText="1"/>
    </xf>
    <xf numFmtId="1" fontId="14" fillId="0" borderId="15" xfId="2" applyNumberFormat="1" applyFont="1" applyBorder="1" applyAlignment="1">
      <alignment horizontal="center" vertical="center" wrapText="1"/>
    </xf>
    <xf numFmtId="1" fontId="14" fillId="0" borderId="16" xfId="2" applyNumberFormat="1" applyFont="1" applyBorder="1" applyAlignment="1">
      <alignment horizontal="center" vertical="center" wrapText="1"/>
    </xf>
    <xf numFmtId="4" fontId="14" fillId="0" borderId="12" xfId="2" applyNumberFormat="1" applyFont="1" applyBorder="1" applyAlignment="1">
      <alignment horizontal="center" vertical="center" wrapText="1"/>
    </xf>
    <xf numFmtId="4" fontId="14" fillId="0" borderId="13" xfId="2" applyNumberFormat="1" applyFont="1" applyBorder="1" applyAlignment="1">
      <alignment horizontal="center" vertical="center" wrapText="1"/>
    </xf>
    <xf numFmtId="4" fontId="14" fillId="0" borderId="14" xfId="2" applyNumberFormat="1" applyFont="1" applyBorder="1" applyAlignment="1">
      <alignment horizontal="center" vertical="center" wrapText="1"/>
    </xf>
    <xf numFmtId="3" fontId="19" fillId="0" borderId="17" xfId="2" applyNumberFormat="1" applyFont="1" applyBorder="1" applyAlignment="1">
      <alignment horizontal="center" vertical="center" wrapText="1"/>
    </xf>
    <xf numFmtId="3" fontId="19" fillId="0" borderId="18" xfId="2" applyNumberFormat="1" applyFont="1" applyBorder="1" applyAlignment="1">
      <alignment horizontal="center" vertical="center" wrapText="1"/>
    </xf>
    <xf numFmtId="3" fontId="19" fillId="0" borderId="19" xfId="2" applyNumberFormat="1" applyFont="1" applyBorder="1" applyAlignment="1">
      <alignment horizontal="center" vertical="center" wrapText="1"/>
    </xf>
    <xf numFmtId="167" fontId="14" fillId="0" borderId="10" xfId="2" applyNumberFormat="1" applyFont="1" applyBorder="1" applyAlignment="1">
      <alignment horizontal="center" vertical="center" wrapText="1"/>
    </xf>
    <xf numFmtId="4" fontId="14" fillId="0" borderId="11" xfId="2" applyNumberFormat="1" applyFont="1" applyBorder="1" applyAlignment="1">
      <alignment horizontal="center" vertical="center" wrapText="1"/>
    </xf>
    <xf numFmtId="4" fontId="14" fillId="0" borderId="16" xfId="2" applyNumberFormat="1" applyFont="1" applyBorder="1" applyAlignment="1">
      <alignment horizontal="center" vertical="center" wrapText="1"/>
    </xf>
    <xf numFmtId="4" fontId="30" fillId="0" borderId="17" xfId="2" applyNumberFormat="1" applyFont="1" applyBorder="1" applyAlignment="1">
      <alignment horizontal="center" vertical="center" wrapText="1"/>
    </xf>
    <xf numFmtId="4" fontId="30" fillId="0" borderId="18" xfId="2" applyNumberFormat="1" applyFont="1" applyBorder="1" applyAlignment="1">
      <alignment horizontal="center" vertical="center" wrapText="1"/>
    </xf>
    <xf numFmtId="4" fontId="30" fillId="0" borderId="19" xfId="2" applyNumberFormat="1" applyFont="1" applyBorder="1" applyAlignment="1">
      <alignment horizontal="center" vertical="center" wrapText="1"/>
    </xf>
    <xf numFmtId="4" fontId="30" fillId="0" borderId="20" xfId="2" applyNumberFormat="1" applyFont="1" applyBorder="1" applyAlignment="1">
      <alignment horizontal="center" vertical="center" wrapText="1"/>
    </xf>
    <xf numFmtId="4" fontId="30" fillId="0" borderId="21" xfId="2" applyNumberFormat="1" applyFont="1" applyBorder="1" applyAlignment="1">
      <alignment horizontal="center" vertical="center" wrapText="1"/>
    </xf>
    <xf numFmtId="4" fontId="30" fillId="0" borderId="22" xfId="2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178B08F-83BA-4C93-A6D7-24954F266154}"/>
    <cellStyle name="Обычный 3" xfId="2" xr:uid="{29D44E5D-838E-45A5-A844-0D3B93CA7B12}"/>
    <cellStyle name="Обычный 4" xfId="3" xr:uid="{97D689EB-BD91-4B54-B04C-5C916F1B1731}"/>
  </cellStyles>
  <dxfs count="0"/>
  <tableStyles count="0" defaultTableStyle="TableStyleMedium2" defaultPivotStyle="PivotStyleLight16"/>
  <colors>
    <mruColors>
      <color rgb="FFCCFFCC"/>
      <color rgb="FFCC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9" tint="0.79998168889431442"/>
    <pageSetUpPr fitToPage="1"/>
  </sheetPr>
  <dimension ref="A1:AD46"/>
  <sheetViews>
    <sheetView tabSelected="1" view="pageBreakPreview" topLeftCell="C1" zoomScaleNormal="100" zoomScaleSheetLayoutView="100" workbookViewId="0">
      <selection activeCell="A6" sqref="A6"/>
    </sheetView>
  </sheetViews>
  <sheetFormatPr defaultRowHeight="15" x14ac:dyDescent="0.25"/>
  <cols>
    <col min="1" max="1" width="36.140625" customWidth="1"/>
    <col min="2" max="2" width="22.85546875" customWidth="1"/>
    <col min="3" max="3" width="27" customWidth="1"/>
    <col min="4" max="4" width="19" customWidth="1"/>
    <col min="5" max="5" width="26.7109375" customWidth="1"/>
    <col min="6" max="12" width="17.7109375" customWidth="1"/>
    <col min="13" max="13" width="12.7109375" customWidth="1"/>
    <col min="14" max="14" width="14.140625" customWidth="1"/>
    <col min="15" max="15" width="18.42578125" customWidth="1"/>
    <col min="16" max="16" width="19" customWidth="1"/>
    <col min="17" max="17" width="28.85546875" customWidth="1"/>
    <col min="18" max="18" width="12.140625" customWidth="1"/>
    <col min="20" max="20" width="13.42578125" customWidth="1"/>
    <col min="21" max="24" width="12.85546875" customWidth="1"/>
    <col min="25" max="27" width="20.85546875" customWidth="1"/>
    <col min="28" max="30" width="15.28515625" customWidth="1"/>
  </cols>
  <sheetData>
    <row r="1" spans="1:30" ht="24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" t="s">
        <v>24</v>
      </c>
    </row>
    <row r="2" spans="1:30" ht="56.25" customHeight="1" x14ac:dyDescent="0.25">
      <c r="A2" s="172" t="s">
        <v>235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30" ht="167.25" customHeight="1" x14ac:dyDescent="0.25">
      <c r="A3" s="2" t="s">
        <v>0</v>
      </c>
      <c r="B3" s="2" t="s">
        <v>229</v>
      </c>
      <c r="C3" s="2" t="s">
        <v>231</v>
      </c>
      <c r="D3" s="2" t="s">
        <v>230</v>
      </c>
      <c r="E3" s="2" t="s">
        <v>236</v>
      </c>
      <c r="F3" s="2" t="s">
        <v>223</v>
      </c>
      <c r="G3" s="2" t="s">
        <v>224</v>
      </c>
      <c r="H3" s="2" t="s">
        <v>225</v>
      </c>
      <c r="I3" s="2" t="s">
        <v>226</v>
      </c>
      <c r="J3" s="90" t="s">
        <v>227</v>
      </c>
      <c r="K3" s="90" t="s">
        <v>228</v>
      </c>
      <c r="L3" s="2" t="s">
        <v>193</v>
      </c>
      <c r="M3" s="2" t="s">
        <v>194</v>
      </c>
      <c r="N3" s="2" t="s">
        <v>195</v>
      </c>
      <c r="O3" s="2" t="s">
        <v>239</v>
      </c>
      <c r="P3" s="26" t="s">
        <v>305</v>
      </c>
      <c r="Q3" s="2" t="s">
        <v>190</v>
      </c>
      <c r="U3" s="171"/>
      <c r="V3" s="171"/>
      <c r="W3" s="171"/>
      <c r="X3" s="171"/>
      <c r="Y3" s="9"/>
      <c r="Z3" s="9"/>
      <c r="AA3" s="9"/>
      <c r="AB3" s="9"/>
      <c r="AC3" s="9"/>
      <c r="AD3" s="9"/>
    </row>
    <row r="4" spans="1:30" ht="15" customHeight="1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U4" s="10"/>
      <c r="V4" s="10"/>
      <c r="W4" s="10"/>
      <c r="X4" s="10"/>
      <c r="Y4" s="10"/>
      <c r="Z4" s="10"/>
      <c r="AA4" s="9"/>
      <c r="AB4" s="11"/>
      <c r="AC4" s="11"/>
      <c r="AD4" s="11"/>
    </row>
    <row r="5" spans="1:30" ht="27" customHeight="1" x14ac:dyDescent="0.25">
      <c r="A5" s="92" t="s">
        <v>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  <c r="U5" s="10"/>
      <c r="V5" s="10"/>
      <c r="W5" s="10"/>
      <c r="X5" s="10"/>
      <c r="Y5" s="10"/>
      <c r="Z5" s="10"/>
      <c r="AA5" s="9"/>
      <c r="AB5" s="11"/>
      <c r="AC5" s="11"/>
      <c r="AD5" s="11"/>
    </row>
    <row r="6" spans="1:30" ht="18.75" customHeight="1" x14ac:dyDescent="0.25">
      <c r="A6" s="8" t="s">
        <v>2</v>
      </c>
      <c r="B6" s="8"/>
      <c r="C6" s="8"/>
      <c r="D6" s="8"/>
      <c r="E6" s="27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</row>
    <row r="7" spans="1:30" ht="18.75" customHeight="1" x14ac:dyDescent="0.25">
      <c r="A7" s="8" t="s">
        <v>2</v>
      </c>
      <c r="B7" s="8"/>
      <c r="C7" s="8"/>
      <c r="D7" s="8"/>
      <c r="E7" s="27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5"/>
    </row>
    <row r="8" spans="1:30" ht="18.75" customHeight="1" x14ac:dyDescent="0.25">
      <c r="A8" s="8" t="s">
        <v>2</v>
      </c>
      <c r="B8" s="8"/>
      <c r="C8" s="8"/>
      <c r="D8" s="8"/>
      <c r="E8" s="27"/>
      <c r="F8" s="4"/>
      <c r="G8" s="4"/>
      <c r="H8" s="4"/>
      <c r="I8" s="4"/>
      <c r="J8" s="4"/>
      <c r="K8" s="4"/>
      <c r="L8" s="4"/>
      <c r="M8" s="4"/>
      <c r="N8" s="4"/>
      <c r="O8" s="5"/>
      <c r="P8" s="5"/>
      <c r="Q8" s="5"/>
    </row>
    <row r="9" spans="1:30" ht="18.75" customHeight="1" x14ac:dyDescent="0.25">
      <c r="A9" s="8" t="s">
        <v>2</v>
      </c>
      <c r="B9" s="8"/>
      <c r="C9" s="8"/>
      <c r="D9" s="8"/>
      <c r="E9" s="27"/>
      <c r="F9" s="4"/>
      <c r="G9" s="4"/>
      <c r="H9" s="4"/>
      <c r="I9" s="4"/>
      <c r="J9" s="4"/>
      <c r="K9" s="4"/>
      <c r="L9" s="4"/>
      <c r="M9" s="4"/>
      <c r="N9" s="4"/>
      <c r="O9" s="5"/>
      <c r="P9" s="5"/>
      <c r="Q9" s="5"/>
    </row>
    <row r="10" spans="1:30" ht="18.75" customHeight="1" x14ac:dyDescent="0.25">
      <c r="A10" s="8" t="s">
        <v>2</v>
      </c>
      <c r="B10" s="8"/>
      <c r="C10" s="8"/>
      <c r="D10" s="8"/>
      <c r="E10" s="27"/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  <c r="Q10" s="5"/>
    </row>
    <row r="11" spans="1:30" ht="27" customHeight="1" x14ac:dyDescent="0.25">
      <c r="A11" s="113" t="s">
        <v>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4"/>
    </row>
    <row r="12" spans="1:30" ht="18.75" customHeight="1" x14ac:dyDescent="0.25">
      <c r="A12" s="8" t="s">
        <v>2</v>
      </c>
      <c r="B12" s="8"/>
      <c r="C12" s="8"/>
      <c r="D12" s="8"/>
      <c r="E12" s="27"/>
      <c r="F12" s="4"/>
      <c r="G12" s="4"/>
      <c r="H12" s="4"/>
      <c r="I12" s="4"/>
      <c r="J12" s="4"/>
      <c r="K12" s="4" t="s">
        <v>1</v>
      </c>
      <c r="L12" s="4"/>
      <c r="M12" s="4"/>
      <c r="N12" s="4"/>
      <c r="O12" s="5"/>
      <c r="P12" s="5"/>
      <c r="Q12" s="5"/>
    </row>
    <row r="13" spans="1:30" ht="18.75" customHeight="1" x14ac:dyDescent="0.25">
      <c r="A13" s="8" t="s">
        <v>2</v>
      </c>
      <c r="B13" s="8"/>
      <c r="C13" s="8"/>
      <c r="D13" s="8"/>
      <c r="E13" s="27"/>
      <c r="F13" s="4"/>
      <c r="G13" s="4"/>
      <c r="H13" s="4"/>
      <c r="I13" s="4"/>
      <c r="J13" s="4"/>
      <c r="K13" s="4" t="s">
        <v>1</v>
      </c>
      <c r="L13" s="4"/>
      <c r="M13" s="4"/>
      <c r="N13" s="4"/>
      <c r="O13" s="5"/>
      <c r="P13" s="5"/>
      <c r="Q13" s="5"/>
    </row>
    <row r="14" spans="1:30" ht="18.75" customHeight="1" x14ac:dyDescent="0.25">
      <c r="A14" s="8" t="s">
        <v>2</v>
      </c>
      <c r="B14" s="8"/>
      <c r="C14" s="8"/>
      <c r="D14" s="8"/>
      <c r="E14" s="27"/>
      <c r="F14" s="4"/>
      <c r="G14" s="4"/>
      <c r="H14" s="4"/>
      <c r="I14" s="4"/>
      <c r="J14" s="4"/>
      <c r="K14" s="4" t="s">
        <v>1</v>
      </c>
      <c r="L14" s="4"/>
      <c r="M14" s="4"/>
      <c r="N14" s="4"/>
      <c r="O14" s="5"/>
      <c r="P14" s="5"/>
      <c r="Q14" s="5"/>
    </row>
    <row r="15" spans="1:30" ht="18.75" customHeight="1" x14ac:dyDescent="0.25">
      <c r="A15" s="8" t="s">
        <v>2</v>
      </c>
      <c r="B15" s="8"/>
      <c r="C15" s="8"/>
      <c r="D15" s="8"/>
      <c r="E15" s="27"/>
      <c r="F15" s="4"/>
      <c r="G15" s="4"/>
      <c r="H15" s="4"/>
      <c r="I15" s="4"/>
      <c r="J15" s="4"/>
      <c r="K15" s="4" t="s">
        <v>1</v>
      </c>
      <c r="L15" s="4"/>
      <c r="M15" s="4"/>
      <c r="N15" s="4"/>
      <c r="O15" s="5"/>
      <c r="P15" s="5"/>
      <c r="Q15" s="5"/>
    </row>
    <row r="16" spans="1:30" ht="18.75" customHeight="1" x14ac:dyDescent="0.25">
      <c r="A16" s="8" t="s">
        <v>2</v>
      </c>
      <c r="B16" s="8"/>
      <c r="C16" s="8"/>
      <c r="D16" s="8"/>
      <c r="E16" s="27"/>
      <c r="F16" s="4"/>
      <c r="G16" s="4"/>
      <c r="H16" s="4"/>
      <c r="I16" s="4"/>
      <c r="J16" s="4"/>
      <c r="K16" s="4" t="s">
        <v>1</v>
      </c>
      <c r="L16" s="4"/>
      <c r="M16" s="4"/>
      <c r="N16" s="4"/>
      <c r="O16" s="5"/>
      <c r="P16" s="5"/>
      <c r="Q16" s="5"/>
    </row>
    <row r="17" spans="1:17" ht="27" customHeight="1" x14ac:dyDescent="0.25">
      <c r="A17" s="113" t="s">
        <v>5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4"/>
    </row>
    <row r="18" spans="1:17" ht="18.75" customHeight="1" x14ac:dyDescent="0.25">
      <c r="A18" s="8" t="s">
        <v>2</v>
      </c>
      <c r="B18" s="8"/>
      <c r="C18" s="8"/>
      <c r="D18" s="8"/>
      <c r="E18" s="27"/>
      <c r="F18" s="4"/>
      <c r="G18" s="4"/>
      <c r="H18" s="4"/>
      <c r="I18" s="4" t="s">
        <v>1</v>
      </c>
      <c r="J18" s="4" t="s">
        <v>1</v>
      </c>
      <c r="K18" s="4" t="s">
        <v>1</v>
      </c>
      <c r="L18" s="4"/>
      <c r="M18" s="4"/>
      <c r="N18" s="4"/>
      <c r="O18" s="5" t="s">
        <v>1</v>
      </c>
      <c r="P18" s="5"/>
      <c r="Q18" s="5"/>
    </row>
    <row r="19" spans="1:17" ht="18.75" customHeight="1" x14ac:dyDescent="0.25">
      <c r="A19" s="8" t="s">
        <v>2</v>
      </c>
      <c r="B19" s="8"/>
      <c r="C19" s="8"/>
      <c r="D19" s="8"/>
      <c r="E19" s="27"/>
      <c r="F19" s="4"/>
      <c r="G19" s="4"/>
      <c r="H19" s="4"/>
      <c r="I19" s="4" t="s">
        <v>1</v>
      </c>
      <c r="J19" s="4" t="s">
        <v>1</v>
      </c>
      <c r="K19" s="4" t="s">
        <v>1</v>
      </c>
      <c r="L19" s="4"/>
      <c r="M19" s="4"/>
      <c r="N19" s="4"/>
      <c r="O19" s="5" t="s">
        <v>1</v>
      </c>
      <c r="P19" s="5"/>
      <c r="Q19" s="5"/>
    </row>
    <row r="20" spans="1:17" ht="18.75" customHeight="1" x14ac:dyDescent="0.25">
      <c r="A20" s="8" t="s">
        <v>2</v>
      </c>
      <c r="B20" s="8"/>
      <c r="C20" s="8"/>
      <c r="D20" s="8"/>
      <c r="E20" s="27"/>
      <c r="F20" s="4"/>
      <c r="G20" s="4"/>
      <c r="H20" s="4"/>
      <c r="I20" s="4" t="s">
        <v>1</v>
      </c>
      <c r="J20" s="4" t="s">
        <v>1</v>
      </c>
      <c r="K20" s="4" t="s">
        <v>1</v>
      </c>
      <c r="L20" s="4"/>
      <c r="M20" s="4"/>
      <c r="N20" s="4"/>
      <c r="O20" s="5" t="s">
        <v>1</v>
      </c>
      <c r="P20" s="5"/>
      <c r="Q20" s="5"/>
    </row>
    <row r="21" spans="1:17" ht="18.75" customHeight="1" x14ac:dyDescent="0.25">
      <c r="A21" s="8" t="s">
        <v>2</v>
      </c>
      <c r="B21" s="8"/>
      <c r="C21" s="8"/>
      <c r="D21" s="8"/>
      <c r="E21" s="27"/>
      <c r="F21" s="4"/>
      <c r="G21" s="4"/>
      <c r="H21" s="4"/>
      <c r="I21" s="4" t="s">
        <v>1</v>
      </c>
      <c r="J21" s="4" t="s">
        <v>1</v>
      </c>
      <c r="K21" s="4" t="s">
        <v>1</v>
      </c>
      <c r="L21" s="4"/>
      <c r="M21" s="4"/>
      <c r="N21" s="4"/>
      <c r="O21" s="5" t="s">
        <v>1</v>
      </c>
      <c r="P21" s="5"/>
      <c r="Q21" s="5"/>
    </row>
    <row r="22" spans="1:17" ht="18.75" customHeight="1" x14ac:dyDescent="0.25">
      <c r="A22" s="8" t="s">
        <v>2</v>
      </c>
      <c r="B22" s="8"/>
      <c r="C22" s="8"/>
      <c r="D22" s="8"/>
      <c r="E22" s="27"/>
      <c r="F22" s="4"/>
      <c r="G22" s="4"/>
      <c r="H22" s="4"/>
      <c r="I22" s="4" t="s">
        <v>1</v>
      </c>
      <c r="J22" s="4" t="s">
        <v>1</v>
      </c>
      <c r="K22" s="4" t="s">
        <v>1</v>
      </c>
      <c r="L22" s="4"/>
      <c r="M22" s="4"/>
      <c r="N22" s="4"/>
      <c r="O22" s="5" t="s">
        <v>1</v>
      </c>
      <c r="P22" s="5"/>
      <c r="Q22" s="5"/>
    </row>
    <row r="23" spans="1:17" ht="26.25" customHeight="1" x14ac:dyDescent="0.25">
      <c r="A23" s="113" t="s">
        <v>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5"/>
    </row>
    <row r="24" spans="1:17" ht="18.75" customHeight="1" x14ac:dyDescent="0.25">
      <c r="A24" s="8" t="s">
        <v>2</v>
      </c>
      <c r="B24" s="8"/>
      <c r="C24" s="8"/>
      <c r="D24" s="8"/>
      <c r="E24" s="27"/>
      <c r="F24" s="4"/>
      <c r="G24" s="4"/>
      <c r="H24" s="4"/>
      <c r="I24" s="4"/>
      <c r="J24" s="4" t="s">
        <v>1</v>
      </c>
      <c r="K24" s="4" t="s">
        <v>1</v>
      </c>
      <c r="L24" s="4"/>
      <c r="M24" s="4"/>
      <c r="N24" s="4"/>
      <c r="O24" s="5" t="s">
        <v>1</v>
      </c>
      <c r="P24" s="5"/>
      <c r="Q24" s="5"/>
    </row>
    <row r="25" spans="1:17" ht="18.75" customHeight="1" x14ac:dyDescent="0.25">
      <c r="A25" s="8" t="s">
        <v>2</v>
      </c>
      <c r="B25" s="8"/>
      <c r="C25" s="8"/>
      <c r="D25" s="8"/>
      <c r="E25" s="27"/>
      <c r="F25" s="4"/>
      <c r="G25" s="4"/>
      <c r="H25" s="4"/>
      <c r="I25" s="4"/>
      <c r="J25" s="4" t="s">
        <v>1</v>
      </c>
      <c r="K25" s="4" t="s">
        <v>1</v>
      </c>
      <c r="L25" s="4"/>
      <c r="M25" s="4"/>
      <c r="N25" s="4"/>
      <c r="O25" s="5" t="s">
        <v>1</v>
      </c>
      <c r="P25" s="5"/>
      <c r="Q25" s="5"/>
    </row>
    <row r="26" spans="1:17" ht="18.75" customHeight="1" x14ac:dyDescent="0.25">
      <c r="A26" s="8" t="s">
        <v>2</v>
      </c>
      <c r="B26" s="8"/>
      <c r="C26" s="8"/>
      <c r="D26" s="8"/>
      <c r="E26" s="27"/>
      <c r="F26" s="4"/>
      <c r="G26" s="4"/>
      <c r="H26" s="4"/>
      <c r="I26" s="4"/>
      <c r="J26" s="4" t="s">
        <v>1</v>
      </c>
      <c r="K26" s="4" t="s">
        <v>1</v>
      </c>
      <c r="L26" s="4"/>
      <c r="M26" s="4"/>
      <c r="N26" s="4"/>
      <c r="O26" s="5" t="s">
        <v>1</v>
      </c>
      <c r="P26" s="5"/>
      <c r="Q26" s="5"/>
    </row>
    <row r="27" spans="1:17" ht="18.75" customHeight="1" x14ac:dyDescent="0.25">
      <c r="A27" s="8" t="s">
        <v>2</v>
      </c>
      <c r="B27" s="8"/>
      <c r="C27" s="8"/>
      <c r="D27" s="8"/>
      <c r="E27" s="27"/>
      <c r="F27" s="4"/>
      <c r="G27" s="4"/>
      <c r="H27" s="4"/>
      <c r="I27" s="4"/>
      <c r="J27" s="4" t="s">
        <v>1</v>
      </c>
      <c r="K27" s="4" t="s">
        <v>1</v>
      </c>
      <c r="L27" s="4"/>
      <c r="M27" s="4"/>
      <c r="N27" s="4"/>
      <c r="O27" s="5" t="s">
        <v>1</v>
      </c>
      <c r="P27" s="5"/>
      <c r="Q27" s="5"/>
    </row>
    <row r="28" spans="1:17" ht="18.75" customHeight="1" x14ac:dyDescent="0.25">
      <c r="A28" s="8" t="s">
        <v>2</v>
      </c>
      <c r="B28" s="8"/>
      <c r="C28" s="8"/>
      <c r="D28" s="8"/>
      <c r="E28" s="27"/>
      <c r="F28" s="4"/>
      <c r="G28" s="4"/>
      <c r="H28" s="4"/>
      <c r="I28" s="4"/>
      <c r="J28" s="4" t="s">
        <v>1</v>
      </c>
      <c r="K28" s="4" t="s">
        <v>1</v>
      </c>
      <c r="L28" s="4"/>
      <c r="M28" s="4"/>
      <c r="N28" s="4"/>
      <c r="O28" s="5" t="s">
        <v>1</v>
      </c>
      <c r="P28" s="5"/>
      <c r="Q28" s="5"/>
    </row>
    <row r="29" spans="1:17" ht="26.25" customHeight="1" x14ac:dyDescent="0.25">
      <c r="A29" s="113" t="s">
        <v>7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4"/>
    </row>
    <row r="30" spans="1:17" ht="18.75" customHeight="1" x14ac:dyDescent="0.25">
      <c r="A30" s="8" t="s">
        <v>2</v>
      </c>
      <c r="B30" s="8"/>
      <c r="C30" s="8"/>
      <c r="D30" s="8"/>
      <c r="E30" s="27"/>
      <c r="F30" s="4"/>
      <c r="G30" s="4"/>
      <c r="H30" s="4"/>
      <c r="I30" s="4" t="s">
        <v>1</v>
      </c>
      <c r="J30" s="4" t="s">
        <v>1</v>
      </c>
      <c r="K30" s="4" t="s">
        <v>1</v>
      </c>
      <c r="L30" s="4"/>
      <c r="M30" s="4"/>
      <c r="N30" s="4"/>
      <c r="O30" s="5" t="s">
        <v>1</v>
      </c>
      <c r="P30" s="5"/>
      <c r="Q30" s="5"/>
    </row>
    <row r="31" spans="1:17" ht="18.75" customHeight="1" x14ac:dyDescent="0.25">
      <c r="A31" s="8" t="s">
        <v>2</v>
      </c>
      <c r="B31" s="8"/>
      <c r="C31" s="8"/>
      <c r="D31" s="8"/>
      <c r="E31" s="27"/>
      <c r="F31" s="4"/>
      <c r="G31" s="4"/>
      <c r="H31" s="4"/>
      <c r="I31" s="4" t="s">
        <v>1</v>
      </c>
      <c r="J31" s="4" t="s">
        <v>1</v>
      </c>
      <c r="K31" s="4" t="s">
        <v>1</v>
      </c>
      <c r="L31" s="4"/>
      <c r="M31" s="4"/>
      <c r="N31" s="4"/>
      <c r="O31" s="5" t="s">
        <v>1</v>
      </c>
      <c r="P31" s="5"/>
      <c r="Q31" s="5"/>
    </row>
    <row r="32" spans="1:17" ht="18.75" customHeight="1" x14ac:dyDescent="0.25">
      <c r="A32" s="8" t="s">
        <v>2</v>
      </c>
      <c r="B32" s="8"/>
      <c r="C32" s="8"/>
      <c r="D32" s="8"/>
      <c r="E32" s="27"/>
      <c r="F32" s="4"/>
      <c r="G32" s="4"/>
      <c r="H32" s="4"/>
      <c r="I32" s="4" t="s">
        <v>1</v>
      </c>
      <c r="J32" s="4" t="s">
        <v>1</v>
      </c>
      <c r="K32" s="4" t="s">
        <v>1</v>
      </c>
      <c r="L32" s="4"/>
      <c r="M32" s="4"/>
      <c r="N32" s="4"/>
      <c r="O32" s="5" t="s">
        <v>1</v>
      </c>
      <c r="P32" s="5"/>
      <c r="Q32" s="5"/>
    </row>
    <row r="33" spans="1:17" ht="18.75" customHeight="1" x14ac:dyDescent="0.25">
      <c r="A33" s="8" t="s">
        <v>2</v>
      </c>
      <c r="B33" s="8"/>
      <c r="C33" s="8"/>
      <c r="D33" s="8"/>
      <c r="E33" s="27"/>
      <c r="F33" s="4"/>
      <c r="G33" s="4"/>
      <c r="H33" s="4"/>
      <c r="I33" s="4" t="s">
        <v>1</v>
      </c>
      <c r="J33" s="4" t="s">
        <v>1</v>
      </c>
      <c r="K33" s="4" t="s">
        <v>1</v>
      </c>
      <c r="L33" s="4"/>
      <c r="M33" s="4"/>
      <c r="N33" s="4"/>
      <c r="O33" s="5" t="s">
        <v>1</v>
      </c>
      <c r="P33" s="5"/>
      <c r="Q33" s="5"/>
    </row>
    <row r="34" spans="1:17" ht="18.75" customHeight="1" x14ac:dyDescent="0.25">
      <c r="A34" s="8" t="s">
        <v>2</v>
      </c>
      <c r="B34" s="8"/>
      <c r="C34" s="8"/>
      <c r="D34" s="8"/>
      <c r="E34" s="27"/>
      <c r="F34" s="4"/>
      <c r="G34" s="4"/>
      <c r="H34" s="4"/>
      <c r="I34" s="4" t="s">
        <v>1</v>
      </c>
      <c r="J34" s="4" t="s">
        <v>1</v>
      </c>
      <c r="K34" s="4" t="s">
        <v>1</v>
      </c>
      <c r="L34" s="4"/>
      <c r="M34" s="4"/>
      <c r="N34" s="4"/>
      <c r="O34" s="5" t="s">
        <v>1</v>
      </c>
      <c r="P34" s="5"/>
      <c r="Q34" s="5"/>
    </row>
    <row r="35" spans="1:17" ht="27" customHeight="1" x14ac:dyDescent="0.25">
      <c r="A35" s="113" t="s">
        <v>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17" ht="18.75" customHeight="1" x14ac:dyDescent="0.25">
      <c r="A36" s="8" t="s">
        <v>2</v>
      </c>
      <c r="B36" s="8"/>
      <c r="C36" s="8"/>
      <c r="D36" s="8"/>
      <c r="E36" s="27"/>
      <c r="F36" s="4"/>
      <c r="G36" s="4"/>
      <c r="H36" s="4" t="s">
        <v>1</v>
      </c>
      <c r="I36" s="4" t="s">
        <v>1</v>
      </c>
      <c r="J36" s="4" t="s">
        <v>1</v>
      </c>
      <c r="K36" s="4" t="s">
        <v>1</v>
      </c>
      <c r="L36" s="4"/>
      <c r="M36" s="4"/>
      <c r="N36" s="4"/>
      <c r="O36" s="5" t="s">
        <v>1</v>
      </c>
      <c r="P36" s="5"/>
      <c r="Q36" s="5"/>
    </row>
    <row r="37" spans="1:17" ht="18.75" customHeight="1" x14ac:dyDescent="0.25">
      <c r="A37" s="8" t="s">
        <v>2</v>
      </c>
      <c r="B37" s="8"/>
      <c r="C37" s="8"/>
      <c r="D37" s="8"/>
      <c r="E37" s="27"/>
      <c r="F37" s="4"/>
      <c r="G37" s="4"/>
      <c r="H37" s="4" t="s">
        <v>1</v>
      </c>
      <c r="I37" s="4" t="s">
        <v>1</v>
      </c>
      <c r="J37" s="4" t="s">
        <v>1</v>
      </c>
      <c r="K37" s="4" t="s">
        <v>1</v>
      </c>
      <c r="L37" s="4"/>
      <c r="M37" s="4"/>
      <c r="N37" s="4"/>
      <c r="O37" s="5" t="s">
        <v>1</v>
      </c>
      <c r="P37" s="5"/>
      <c r="Q37" s="5"/>
    </row>
    <row r="38" spans="1:17" ht="18.75" customHeight="1" x14ac:dyDescent="0.25">
      <c r="A38" s="8" t="s">
        <v>2</v>
      </c>
      <c r="B38" s="8"/>
      <c r="C38" s="8"/>
      <c r="D38" s="8"/>
      <c r="E38" s="27"/>
      <c r="F38" s="4"/>
      <c r="G38" s="4"/>
      <c r="H38" s="4" t="s">
        <v>1</v>
      </c>
      <c r="I38" s="4" t="s">
        <v>1</v>
      </c>
      <c r="J38" s="4" t="s">
        <v>1</v>
      </c>
      <c r="K38" s="4" t="s">
        <v>1</v>
      </c>
      <c r="L38" s="4"/>
      <c r="M38" s="4"/>
      <c r="N38" s="4"/>
      <c r="O38" s="5" t="s">
        <v>1</v>
      </c>
      <c r="P38" s="5"/>
      <c r="Q38" s="5"/>
    </row>
    <row r="39" spans="1:17" ht="18.75" customHeight="1" x14ac:dyDescent="0.25">
      <c r="A39" s="8" t="s">
        <v>2</v>
      </c>
      <c r="B39" s="8"/>
      <c r="C39" s="8"/>
      <c r="D39" s="8"/>
      <c r="E39" s="27"/>
      <c r="F39" s="4"/>
      <c r="G39" s="4"/>
      <c r="H39" s="4" t="s">
        <v>1</v>
      </c>
      <c r="I39" s="4" t="s">
        <v>1</v>
      </c>
      <c r="J39" s="4" t="s">
        <v>1</v>
      </c>
      <c r="K39" s="4" t="s">
        <v>1</v>
      </c>
      <c r="L39" s="4"/>
      <c r="M39" s="4"/>
      <c r="N39" s="4"/>
      <c r="O39" s="5" t="s">
        <v>1</v>
      </c>
      <c r="P39" s="5"/>
      <c r="Q39" s="5"/>
    </row>
    <row r="40" spans="1:17" ht="18.75" customHeight="1" x14ac:dyDescent="0.25">
      <c r="A40" s="8" t="s">
        <v>2</v>
      </c>
      <c r="B40" s="8"/>
      <c r="C40" s="8"/>
      <c r="D40" s="8"/>
      <c r="E40" s="27"/>
      <c r="F40" s="4"/>
      <c r="G40" s="4"/>
      <c r="H40" s="4" t="s">
        <v>1</v>
      </c>
      <c r="I40" s="4" t="s">
        <v>1</v>
      </c>
      <c r="J40" s="4" t="s">
        <v>1</v>
      </c>
      <c r="K40" s="4" t="s">
        <v>1</v>
      </c>
      <c r="L40" s="4"/>
      <c r="M40" s="4"/>
      <c r="N40" s="4"/>
      <c r="O40" s="5" t="s">
        <v>1</v>
      </c>
      <c r="P40" s="5"/>
      <c r="Q40" s="5"/>
    </row>
    <row r="41" spans="1:17" ht="27" customHeight="1" x14ac:dyDescent="0.25">
      <c r="A41" s="113" t="s">
        <v>9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4"/>
    </row>
    <row r="42" spans="1:17" ht="18.75" customHeight="1" x14ac:dyDescent="0.25">
      <c r="A42" s="8" t="s">
        <v>2</v>
      </c>
      <c r="B42" s="8"/>
      <c r="C42" s="8"/>
      <c r="D42" s="8"/>
      <c r="E42" s="27"/>
      <c r="F42" s="4"/>
      <c r="G42" s="4"/>
      <c r="H42" s="4" t="s">
        <v>1</v>
      </c>
      <c r="I42" s="4" t="s">
        <v>1</v>
      </c>
      <c r="J42" s="4" t="s">
        <v>1</v>
      </c>
      <c r="K42" s="4" t="s">
        <v>1</v>
      </c>
      <c r="L42" s="4"/>
      <c r="M42" s="4"/>
      <c r="N42" s="4"/>
      <c r="O42" s="6" t="s">
        <v>1</v>
      </c>
      <c r="P42" s="6"/>
      <c r="Q42" s="6"/>
    </row>
    <row r="43" spans="1:17" ht="18.75" customHeight="1" x14ac:dyDescent="0.25">
      <c r="A43" s="8" t="s">
        <v>2</v>
      </c>
      <c r="B43" s="8"/>
      <c r="C43" s="8"/>
      <c r="D43" s="8"/>
      <c r="E43" s="27"/>
      <c r="F43" s="4"/>
      <c r="G43" s="4"/>
      <c r="H43" s="4" t="s">
        <v>1</v>
      </c>
      <c r="I43" s="4" t="s">
        <v>1</v>
      </c>
      <c r="J43" s="4" t="s">
        <v>1</v>
      </c>
      <c r="K43" s="4" t="s">
        <v>1</v>
      </c>
      <c r="L43" s="4"/>
      <c r="M43" s="4"/>
      <c r="N43" s="4"/>
      <c r="O43" s="6" t="s">
        <v>1</v>
      </c>
      <c r="P43" s="6"/>
      <c r="Q43" s="6"/>
    </row>
    <row r="44" spans="1:17" ht="18.75" customHeight="1" x14ac:dyDescent="0.25">
      <c r="A44" s="8" t="s">
        <v>2</v>
      </c>
      <c r="B44" s="8"/>
      <c r="C44" s="8"/>
      <c r="D44" s="8"/>
      <c r="E44" s="27"/>
      <c r="F44" s="4"/>
      <c r="G44" s="4"/>
      <c r="H44" s="4" t="s">
        <v>1</v>
      </c>
      <c r="I44" s="4" t="s">
        <v>1</v>
      </c>
      <c r="J44" s="4" t="s">
        <v>1</v>
      </c>
      <c r="K44" s="4" t="s">
        <v>1</v>
      </c>
      <c r="L44" s="4"/>
      <c r="M44" s="4"/>
      <c r="N44" s="4"/>
      <c r="O44" s="6" t="s">
        <v>1</v>
      </c>
      <c r="P44" s="6"/>
      <c r="Q44" s="6"/>
    </row>
    <row r="45" spans="1:17" ht="18.75" customHeight="1" x14ac:dyDescent="0.25">
      <c r="A45" s="8" t="s">
        <v>2</v>
      </c>
      <c r="B45" s="8"/>
      <c r="C45" s="8"/>
      <c r="D45" s="8"/>
      <c r="E45" s="27"/>
      <c r="F45" s="4"/>
      <c r="G45" s="4"/>
      <c r="H45" s="4" t="s">
        <v>1</v>
      </c>
      <c r="I45" s="4" t="s">
        <v>1</v>
      </c>
      <c r="J45" s="4" t="s">
        <v>1</v>
      </c>
      <c r="K45" s="4" t="s">
        <v>1</v>
      </c>
      <c r="L45" s="4"/>
      <c r="M45" s="4"/>
      <c r="N45" s="4"/>
      <c r="O45" s="6" t="s">
        <v>1</v>
      </c>
      <c r="P45" s="6"/>
      <c r="Q45" s="6"/>
    </row>
    <row r="46" spans="1:17" ht="18.75" customHeight="1" x14ac:dyDescent="0.25">
      <c r="A46" s="8" t="s">
        <v>2</v>
      </c>
      <c r="B46" s="8"/>
      <c r="C46" s="8"/>
      <c r="D46" s="8"/>
      <c r="E46" s="27"/>
      <c r="F46" s="4"/>
      <c r="G46" s="4"/>
      <c r="H46" s="4" t="s">
        <v>1</v>
      </c>
      <c r="I46" s="4" t="s">
        <v>1</v>
      </c>
      <c r="J46" s="4" t="s">
        <v>1</v>
      </c>
      <c r="K46" s="4" t="s">
        <v>1</v>
      </c>
      <c r="L46" s="4"/>
      <c r="M46" s="4"/>
      <c r="N46" s="4"/>
      <c r="O46" s="6" t="s">
        <v>1</v>
      </c>
      <c r="P46" s="6"/>
      <c r="Q46" s="6"/>
    </row>
  </sheetData>
  <mergeCells count="2">
    <mergeCell ref="U3:X3"/>
    <mergeCell ref="A2:Q2"/>
  </mergeCells>
  <dataValidations count="34">
    <dataValidation type="list" allowBlank="1" showInputMessage="1" showErrorMessage="1" sqref="L36:L40 L6:L10 L12:L16 L18:L22 L24:L28 L30:L34 L42:L46" xr:uid="{51F42309-667C-4AEF-B68E-ED4870EB1CC3}">
      <formula1>"город,не город"</formula1>
    </dataValidation>
    <dataValidation type="list" allowBlank="1" showInputMessage="1" showErrorMessage="1" sqref="M42:M46 M6:M10 M12:M16 M18:M22 M24:M28 M30:M34 M36:M40" xr:uid="{577CDB7A-5AC5-413D-80BF-176265DB370A}">
      <formula1>"2018,2019,2020,2022"</formula1>
    </dataValidation>
    <dataValidation type="list" allowBlank="1" showInputMessage="1" showErrorMessage="1" sqref="N6:N10" xr:uid="{91E2DF25-27AD-41CE-815C-7D9C2AB5706C}">
      <formula1>Уровни_1</formula1>
    </dataValidation>
    <dataValidation type="list" allowBlank="1" showInputMessage="1" showErrorMessage="1" sqref="B30:B34 B36:B40 B6:B10 B12:B16 B18:B22 B24:B28 B42:B46" xr:uid="{5ECDFC1F-DC50-42B1-91F9-29272E10F529}">
      <formula1>Категории</formula1>
    </dataValidation>
    <dataValidation type="list" allowBlank="1" showInputMessage="1" showErrorMessage="1" sqref="F6:F10" xr:uid="{7B48DC61-3CB6-458C-ACAD-1E495D45F0B7}">
      <formula1>признак1j</formula1>
    </dataValidation>
    <dataValidation type="list" allowBlank="1" showInputMessage="1" showErrorMessage="1" sqref="G6:G10" xr:uid="{CA450BB2-1754-488D-BDCF-A75DA500198B}">
      <formula1>признак1k</formula1>
    </dataValidation>
    <dataValidation type="list" allowBlank="1" showInputMessage="1" showErrorMessage="1" sqref="H6:H10" xr:uid="{FCEAD2E0-9C52-4975-B71C-F817C8AA8E0A}">
      <formula1>признак1l</formula1>
    </dataValidation>
    <dataValidation type="list" allowBlank="1" showInputMessage="1" showErrorMessage="1" sqref="I6:I10" xr:uid="{251B4087-9FD0-49F0-941B-BB4D0194E479}">
      <formula1>признак1m</formula1>
    </dataValidation>
    <dataValidation type="list" allowBlank="1" showInputMessage="1" showErrorMessage="1" sqref="F12:F16" xr:uid="{0AA8616C-B73E-4E3A-B404-DB40160E21C6}">
      <formula1>признак2j</formula1>
    </dataValidation>
    <dataValidation type="list" allowBlank="1" showInputMessage="1" showErrorMessage="1" sqref="G12:G16" xr:uid="{772D8325-DFB2-4EFB-814C-0FB9864D760E}">
      <formula1>признак2k</formula1>
    </dataValidation>
    <dataValidation type="list" allowBlank="1" showInputMessage="1" showErrorMessage="1" sqref="H12:H16" xr:uid="{1E90AA87-7FA4-4F52-8435-7269D17D7A8F}">
      <formula1>признак2l</formula1>
    </dataValidation>
    <dataValidation type="list" allowBlank="1" showInputMessage="1" showErrorMessage="1" sqref="I12:I16" xr:uid="{8A007A7D-CAA3-49F6-8A55-61B6EABF87A6}">
      <formula1>признак2m</formula1>
    </dataValidation>
    <dataValidation type="list" allowBlank="1" showInputMessage="1" showErrorMessage="1" sqref="F18:F22" xr:uid="{51125B54-6A30-4E62-AF84-935921621D94}">
      <formula1>признак3j</formula1>
    </dataValidation>
    <dataValidation type="list" allowBlank="1" showInputMessage="1" showErrorMessage="1" sqref="G18:G22" xr:uid="{F912EE90-FEE1-4DC3-B5D2-FCC92BA9AE36}">
      <formula1>признак3k</formula1>
    </dataValidation>
    <dataValidation type="list" allowBlank="1" showInputMessage="1" showErrorMessage="1" sqref="F24:F28" xr:uid="{907750A0-F5FD-4AA8-BB32-FF3FAA04FC9D}">
      <formula1>признак4j</formula1>
    </dataValidation>
    <dataValidation type="list" allowBlank="1" showInputMessage="1" showErrorMessage="1" sqref="G24:G28" xr:uid="{556EFFE4-E793-4C4A-AA37-8B49468CF2F8}">
      <formula1>признак4k</formula1>
    </dataValidation>
    <dataValidation type="list" allowBlank="1" showInputMessage="1" showErrorMessage="1" sqref="H24:H28" xr:uid="{0FB9FA06-DD98-4C4E-9A23-80A3CEC62D15}">
      <formula1>признак4l</formula1>
    </dataValidation>
    <dataValidation type="list" allowBlank="1" showInputMessage="1" showErrorMessage="1" sqref="F30:F34" xr:uid="{7C33A7E2-48D3-4464-92D0-23CAFFF309F3}">
      <formula1>признак5j</formula1>
    </dataValidation>
    <dataValidation type="list" allowBlank="1" showInputMessage="1" showErrorMessage="1" sqref="G30:G34" xr:uid="{98DFD258-4254-4E51-9A61-525289099F12}">
      <formula1>признак5k</formula1>
    </dataValidation>
    <dataValidation type="list" allowBlank="1" showInputMessage="1" showErrorMessage="1" sqref="H30:H34" xr:uid="{D542C3AC-2A75-4AF5-80C8-A46F63557B72}">
      <formula1>признак5l</formula1>
    </dataValidation>
    <dataValidation type="list" allowBlank="1" showInputMessage="1" showErrorMessage="1" sqref="F36:F40" xr:uid="{DCC08307-4AF2-4B89-B4C0-84DD9F7A1453}">
      <formula1>признак6j</formula1>
    </dataValidation>
    <dataValidation type="list" allowBlank="1" showInputMessage="1" showErrorMessage="1" sqref="F42:F46" xr:uid="{14A576CF-5BD8-45F8-9CBA-CB51A739B78A}">
      <formula1>признак7j</formula1>
    </dataValidation>
    <dataValidation type="list" allowBlank="1" showInputMessage="1" showErrorMessage="1" sqref="G42:G46" xr:uid="{6A0ADAFD-A02A-4D47-BC69-ED51F0F851FA}">
      <formula1>признак7k</formula1>
    </dataValidation>
    <dataValidation type="list" allowBlank="1" showInputMessage="1" showErrorMessage="1" sqref="N42:N46 N18:N22" xr:uid="{100A8A07-9A42-4199-92DB-35C80CC8DDDB}">
      <formula1>Уровни_3</formula1>
    </dataValidation>
    <dataValidation type="list" allowBlank="1" showInputMessage="1" showErrorMessage="1" sqref="N12:N16" xr:uid="{2E8F8E34-94EE-407C-9F47-26A76D5B6680}">
      <formula1>Уровни_2</formula1>
    </dataValidation>
    <dataValidation type="list" allowBlank="1" showInputMessage="1" showErrorMessage="1" sqref="J6:J10" xr:uid="{0358CB42-9A6A-4A5E-85CB-F26B4F46431C}">
      <formula1>признак1n</formula1>
    </dataValidation>
    <dataValidation type="list" allowBlank="1" showInputMessage="1" showErrorMessage="1" sqref="K6:K10" xr:uid="{48953131-4EF7-4131-BD18-C0DE80C0BA76}">
      <formula1>признак1o</formula1>
    </dataValidation>
    <dataValidation type="list" allowBlank="1" showInputMessage="1" showErrorMessage="1" sqref="J12:J16" xr:uid="{B790BB1A-2AC9-4D51-951B-DB729ED801D7}">
      <formula1>признак2n</formula1>
    </dataValidation>
    <dataValidation type="list" allowBlank="1" showInputMessage="1" showErrorMessage="1" sqref="G36:G40" xr:uid="{55A3F533-7B97-4D81-B11D-47608AB2AA25}">
      <formula1>признак6k</formula1>
    </dataValidation>
    <dataValidation type="list" allowBlank="1" showInputMessage="1" showErrorMessage="1" sqref="I24:I28" xr:uid="{B9D9B394-CDC6-4D2A-8F4C-ED332910C109}">
      <formula1>признак4m</formula1>
    </dataValidation>
    <dataValidation type="list" allowBlank="1" showInputMessage="1" showErrorMessage="1" sqref="N24:N28" xr:uid="{4D221836-7D2B-4CEA-9E0E-98E136363D42}">
      <formula1>Уровни_4</formula1>
    </dataValidation>
    <dataValidation type="list" allowBlank="1" showInputMessage="1" showErrorMessage="1" sqref="N30:N34" xr:uid="{5E964565-BADE-41AE-B242-EE0414796DF7}">
      <formula1>Уровни_5</formula1>
    </dataValidation>
    <dataValidation type="list" allowBlank="1" showInputMessage="1" showErrorMessage="1" sqref="N36:N40" xr:uid="{B85641A0-8909-403C-9C46-6467B709ED4F}">
      <formula1>Уровни_6</formula1>
    </dataValidation>
    <dataValidation type="list" allowBlank="1" showInputMessage="1" showErrorMessage="1" sqref="H18:H22" xr:uid="{96EB7D0B-7F6A-4F94-BC2C-7CE57807AB6D}">
      <formula1>признак3l</formula1>
    </dataValidation>
  </dataValidations>
  <pageMargins left="0.70866141732283472" right="0.70866141732283472" top="0.74803149606299213" bottom="0.74803149606299213" header="0.31496062992125984" footer="0.31496062992125984"/>
  <pageSetup paperSize="9" scale="37" fitToHeight="99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CC294-174C-4EE6-AC3B-154944EB3390}">
  <sheetPr>
    <tabColor theme="9" tint="0.79998168889431442"/>
    <pageSetUpPr fitToPage="1"/>
  </sheetPr>
  <dimension ref="A1:H56"/>
  <sheetViews>
    <sheetView view="pageBreakPreview" topLeftCell="A37" zoomScaleNormal="100" zoomScaleSheetLayoutView="100" workbookViewId="0">
      <selection activeCell="D54" sqref="D54"/>
    </sheetView>
  </sheetViews>
  <sheetFormatPr defaultRowHeight="15" x14ac:dyDescent="0.25"/>
  <cols>
    <col min="1" max="1" width="7.28515625" customWidth="1"/>
    <col min="2" max="2" width="46.5703125" customWidth="1"/>
    <col min="3" max="3" width="16.85546875" customWidth="1"/>
    <col min="4" max="7" width="18.7109375" customWidth="1"/>
    <col min="8" max="8" width="21.85546875" customWidth="1"/>
  </cols>
  <sheetData>
    <row r="1" spans="1:8" x14ac:dyDescent="0.25">
      <c r="H1" s="1" t="s">
        <v>23</v>
      </c>
    </row>
    <row r="2" spans="1:8" ht="40.5" customHeight="1" x14ac:dyDescent="0.25">
      <c r="A2" s="174" t="s">
        <v>219</v>
      </c>
      <c r="B2" s="174"/>
      <c r="C2" s="174"/>
      <c r="D2" s="174"/>
      <c r="E2" s="174"/>
      <c r="F2" s="174"/>
      <c r="G2" s="174"/>
      <c r="H2" s="174"/>
    </row>
    <row r="3" spans="1:8" ht="30" customHeight="1" x14ac:dyDescent="0.25">
      <c r="A3" s="175" t="s">
        <v>10</v>
      </c>
      <c r="B3" s="175" t="s">
        <v>11</v>
      </c>
      <c r="C3" s="178" t="s">
        <v>12</v>
      </c>
      <c r="D3" s="180"/>
      <c r="E3" s="180"/>
      <c r="F3" s="180"/>
      <c r="G3" s="179"/>
      <c r="H3" s="175" t="s">
        <v>248</v>
      </c>
    </row>
    <row r="4" spans="1:8" ht="49.5" customHeight="1" x14ac:dyDescent="0.25">
      <c r="A4" s="176"/>
      <c r="B4" s="176"/>
      <c r="C4" s="175" t="s">
        <v>221</v>
      </c>
      <c r="D4" s="178" t="s">
        <v>13</v>
      </c>
      <c r="E4" s="179"/>
      <c r="F4" s="178" t="s">
        <v>192</v>
      </c>
      <c r="G4" s="179"/>
      <c r="H4" s="176"/>
    </row>
    <row r="5" spans="1:8" ht="63.75" customHeight="1" x14ac:dyDescent="0.25">
      <c r="A5" s="177"/>
      <c r="B5" s="177"/>
      <c r="C5" s="177"/>
      <c r="D5" s="90" t="s">
        <v>191</v>
      </c>
      <c r="E5" s="90" t="s">
        <v>222</v>
      </c>
      <c r="F5" s="90" t="s">
        <v>191</v>
      </c>
      <c r="G5" s="90" t="s">
        <v>222</v>
      </c>
      <c r="H5" s="177"/>
    </row>
    <row r="6" spans="1:8" x14ac:dyDescent="0.2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</row>
    <row r="7" spans="1:8" ht="25.5" customHeight="1" x14ac:dyDescent="0.25">
      <c r="A7" s="173" t="s">
        <v>14</v>
      </c>
      <c r="B7" s="173"/>
      <c r="C7" s="173"/>
      <c r="D7" s="173"/>
      <c r="E7" s="173"/>
      <c r="F7" s="173"/>
      <c r="G7" s="173"/>
      <c r="H7" s="173"/>
    </row>
    <row r="8" spans="1:8" ht="35.25" customHeight="1" x14ac:dyDescent="0.25">
      <c r="A8" s="18">
        <v>1</v>
      </c>
      <c r="B8" s="7" t="s">
        <v>16</v>
      </c>
      <c r="C8" s="19">
        <f>C9+C10</f>
        <v>90.104349999999982</v>
      </c>
      <c r="D8" s="116">
        <f>D9+D10</f>
        <v>24</v>
      </c>
      <c r="E8" s="116">
        <f>E9+E10</f>
        <v>0</v>
      </c>
      <c r="F8" s="19">
        <f>F9+F10</f>
        <v>552.9</v>
      </c>
      <c r="G8" s="19">
        <f>G9+G10</f>
        <v>0</v>
      </c>
      <c r="H8" s="19">
        <f>IFERROR(H9+H10,"")</f>
        <v>7506.9795599999989</v>
      </c>
    </row>
    <row r="9" spans="1:8" ht="21.75" customHeight="1" x14ac:dyDescent="0.25">
      <c r="A9" s="122" t="s">
        <v>19</v>
      </c>
      <c r="B9" s="25" t="s">
        <v>18</v>
      </c>
      <c r="C9" s="24">
        <f>Смета!C8</f>
        <v>37.483409600000002</v>
      </c>
      <c r="D9" s="91">
        <v>10</v>
      </c>
      <c r="E9" s="91">
        <v>0</v>
      </c>
      <c r="F9" s="17">
        <v>471.9</v>
      </c>
      <c r="G9" s="17">
        <v>0</v>
      </c>
      <c r="H9" s="24">
        <f>IFERROR(C9*1000/(D9+E9),"")</f>
        <v>3748.34096</v>
      </c>
    </row>
    <row r="10" spans="1:8" ht="21.75" customHeight="1" x14ac:dyDescent="0.25">
      <c r="A10" s="122" t="s">
        <v>20</v>
      </c>
      <c r="B10" s="25" t="s">
        <v>17</v>
      </c>
      <c r="C10" s="24">
        <f>Смета!F8</f>
        <v>52.620940399999988</v>
      </c>
      <c r="D10" s="91">
        <v>14</v>
      </c>
      <c r="E10" s="91">
        <v>0</v>
      </c>
      <c r="F10" s="17">
        <v>81</v>
      </c>
      <c r="G10" s="17">
        <v>0</v>
      </c>
      <c r="H10" s="24">
        <f>IFERROR(C10*1000/(D10+E10),"")</f>
        <v>3758.6385999999989</v>
      </c>
    </row>
    <row r="11" spans="1:8" ht="35.25" customHeight="1" x14ac:dyDescent="0.25">
      <c r="A11" s="18">
        <v>2</v>
      </c>
      <c r="B11" s="7" t="s">
        <v>244</v>
      </c>
      <c r="C11" s="19" t="s">
        <v>1</v>
      </c>
      <c r="D11" s="116" t="s">
        <v>1</v>
      </c>
      <c r="E11" s="116" t="s">
        <v>1</v>
      </c>
      <c r="F11" s="19" t="s">
        <v>1</v>
      </c>
      <c r="G11" s="19" t="s">
        <v>1</v>
      </c>
      <c r="H11" s="19" t="s">
        <v>1</v>
      </c>
    </row>
    <row r="12" spans="1:8" ht="90.75" customHeight="1" x14ac:dyDescent="0.25">
      <c r="A12" s="18" t="s">
        <v>22</v>
      </c>
      <c r="B12" s="117" t="s">
        <v>361</v>
      </c>
      <c r="C12" s="19">
        <f>C13+C14</f>
        <v>193.83847429919999</v>
      </c>
      <c r="D12" s="116">
        <f>D13+D14</f>
        <v>35</v>
      </c>
      <c r="E12" s="123" t="s">
        <v>1</v>
      </c>
      <c r="F12" s="19">
        <f>F13+F14</f>
        <v>1337.87</v>
      </c>
      <c r="G12" s="123" t="s">
        <v>1</v>
      </c>
      <c r="H12" s="19">
        <f>IFERROR(H13+H14,"")</f>
        <v>10936.094364228571</v>
      </c>
    </row>
    <row r="13" spans="1:8" ht="21.75" customHeight="1" x14ac:dyDescent="0.25">
      <c r="A13" s="122" t="s">
        <v>240</v>
      </c>
      <c r="B13" s="25" t="s">
        <v>18</v>
      </c>
      <c r="C13" s="24">
        <f>Смета!D8</f>
        <v>71.639014699200004</v>
      </c>
      <c r="D13" s="91">
        <v>14</v>
      </c>
      <c r="E13" s="123" t="s">
        <v>1</v>
      </c>
      <c r="F13" s="17">
        <v>985.87</v>
      </c>
      <c r="G13" s="123" t="s">
        <v>1</v>
      </c>
      <c r="H13" s="24">
        <f>IFERROR(C13*1000/D13,"")</f>
        <v>5117.0724785142866</v>
      </c>
    </row>
    <row r="14" spans="1:8" ht="21.75" customHeight="1" x14ac:dyDescent="0.25">
      <c r="A14" s="122" t="s">
        <v>241</v>
      </c>
      <c r="B14" s="25" t="s">
        <v>17</v>
      </c>
      <c r="C14" s="24">
        <f>Смета!G8</f>
        <v>122.19945959999998</v>
      </c>
      <c r="D14" s="91">
        <v>21</v>
      </c>
      <c r="E14" s="123" t="s">
        <v>1</v>
      </c>
      <c r="F14" s="17">
        <v>352</v>
      </c>
      <c r="G14" s="123" t="s">
        <v>1</v>
      </c>
      <c r="H14" s="24">
        <f>IFERROR(C14*1000/D14,"")</f>
        <v>5819.0218857142854</v>
      </c>
    </row>
    <row r="15" spans="1:8" ht="90.75" customHeight="1" x14ac:dyDescent="0.25">
      <c r="A15" s="18" t="s">
        <v>21</v>
      </c>
      <c r="B15" s="117" t="s">
        <v>360</v>
      </c>
      <c r="C15" s="19">
        <f>C16+C17</f>
        <v>4.2945540019199999</v>
      </c>
      <c r="D15" s="116">
        <f t="shared" ref="D15:G15" si="0">D16+D17</f>
        <v>3</v>
      </c>
      <c r="E15" s="116">
        <f t="shared" si="0"/>
        <v>0</v>
      </c>
      <c r="F15" s="19">
        <f t="shared" si="0"/>
        <v>650</v>
      </c>
      <c r="G15" s="19">
        <f t="shared" si="0"/>
        <v>0</v>
      </c>
      <c r="H15" s="19" t="str">
        <f>IFERROR(H16+H17,"")</f>
        <v/>
      </c>
    </row>
    <row r="16" spans="1:8" ht="21.75" customHeight="1" x14ac:dyDescent="0.25">
      <c r="A16" s="122" t="s">
        <v>242</v>
      </c>
      <c r="B16" s="25" t="s">
        <v>18</v>
      </c>
      <c r="C16" s="24">
        <f>Смета!E11</f>
        <v>4.2945540019199999</v>
      </c>
      <c r="D16" s="91">
        <v>3</v>
      </c>
      <c r="E16" s="91">
        <v>0</v>
      </c>
      <c r="F16" s="17">
        <v>650</v>
      </c>
      <c r="G16" s="17">
        <v>0</v>
      </c>
      <c r="H16" s="24">
        <f>IFERROR(C16*1000/(D16+E16),"")</f>
        <v>1431.5180006399999</v>
      </c>
    </row>
    <row r="17" spans="1:8" ht="21.75" customHeight="1" x14ac:dyDescent="0.25">
      <c r="A17" s="122" t="s">
        <v>243</v>
      </c>
      <c r="B17" s="25" t="s">
        <v>17</v>
      </c>
      <c r="C17" s="24">
        <f>Смета!H11</f>
        <v>0</v>
      </c>
      <c r="D17" s="91">
        <v>0</v>
      </c>
      <c r="E17" s="91">
        <v>0</v>
      </c>
      <c r="F17" s="17">
        <v>0</v>
      </c>
      <c r="G17" s="17">
        <v>0</v>
      </c>
      <c r="H17" s="24" t="str">
        <f>IFERROR(C17*1000/(D17+E17),"")</f>
        <v/>
      </c>
    </row>
    <row r="18" spans="1:8" ht="25.5" customHeight="1" x14ac:dyDescent="0.25">
      <c r="A18" s="173" t="s">
        <v>15</v>
      </c>
      <c r="B18" s="173"/>
      <c r="C18" s="173"/>
      <c r="D18" s="173"/>
      <c r="E18" s="173"/>
      <c r="F18" s="173"/>
      <c r="G18" s="173"/>
      <c r="H18" s="173"/>
    </row>
    <row r="19" spans="1:8" ht="35.25" customHeight="1" x14ac:dyDescent="0.25">
      <c r="A19" s="18">
        <v>1</v>
      </c>
      <c r="B19" s="117" t="s">
        <v>16</v>
      </c>
      <c r="C19" s="19">
        <f>C20+C21</f>
        <v>61.102999999999994</v>
      </c>
      <c r="D19" s="116">
        <f>D20+D21</f>
        <v>53</v>
      </c>
      <c r="E19" s="116">
        <f>E20+E21</f>
        <v>0</v>
      </c>
      <c r="F19" s="19">
        <f>F20+F21</f>
        <v>993</v>
      </c>
      <c r="G19" s="19">
        <f>G20+G21</f>
        <v>0</v>
      </c>
      <c r="H19" s="19">
        <f>IFERROR(H20+H21,"")</f>
        <v>2305.7471645833334</v>
      </c>
    </row>
    <row r="20" spans="1:8" ht="21.75" customHeight="1" x14ac:dyDescent="0.25">
      <c r="A20" s="122" t="s">
        <v>19</v>
      </c>
      <c r="B20" s="25" t="s">
        <v>18</v>
      </c>
      <c r="C20" s="24">
        <f>Смета!I8</f>
        <v>36.893991399999997</v>
      </c>
      <c r="D20" s="91">
        <v>32</v>
      </c>
      <c r="E20" s="91">
        <v>0</v>
      </c>
      <c r="F20" s="17">
        <v>848</v>
      </c>
      <c r="G20" s="17"/>
      <c r="H20" s="24">
        <f>IFERROR(C20*1000/(D20+E20),"")</f>
        <v>1152.93723125</v>
      </c>
    </row>
    <row r="21" spans="1:8" ht="21.75" customHeight="1" x14ac:dyDescent="0.25">
      <c r="A21" s="122" t="s">
        <v>20</v>
      </c>
      <c r="B21" s="25" t="s">
        <v>17</v>
      </c>
      <c r="C21" s="24">
        <f>Смета!L8</f>
        <v>24.209008600000001</v>
      </c>
      <c r="D21" s="91">
        <v>21</v>
      </c>
      <c r="E21" s="91">
        <v>0</v>
      </c>
      <c r="F21" s="17">
        <v>145</v>
      </c>
      <c r="G21" s="17"/>
      <c r="H21" s="24">
        <f>IFERROR(C21*1000/(D21+E21),"")</f>
        <v>1152.8099333333334</v>
      </c>
    </row>
    <row r="22" spans="1:8" ht="35.25" customHeight="1" x14ac:dyDescent="0.25">
      <c r="A22" s="18">
        <v>2</v>
      </c>
      <c r="B22" s="117" t="s">
        <v>244</v>
      </c>
      <c r="C22" s="19" t="s">
        <v>1</v>
      </c>
      <c r="D22" s="116" t="s">
        <v>1</v>
      </c>
      <c r="E22" s="116" t="s">
        <v>1</v>
      </c>
      <c r="F22" s="19" t="s">
        <v>1</v>
      </c>
      <c r="G22" s="19" t="s">
        <v>1</v>
      </c>
      <c r="H22" s="19" t="s">
        <v>1</v>
      </c>
    </row>
    <row r="23" spans="1:8" ht="96" customHeight="1" x14ac:dyDescent="0.25">
      <c r="A23" s="18" t="s">
        <v>22</v>
      </c>
      <c r="B23" s="120" t="s">
        <v>361</v>
      </c>
      <c r="C23" s="19">
        <f>C24+C25</f>
        <v>138.72693588179999</v>
      </c>
      <c r="D23" s="116">
        <f>D24+D25</f>
        <v>46</v>
      </c>
      <c r="E23" s="123" t="s">
        <v>1</v>
      </c>
      <c r="F23" s="19">
        <f>F24+F25</f>
        <v>755</v>
      </c>
      <c r="G23" s="123" t="s">
        <v>1</v>
      </c>
      <c r="H23" s="19">
        <f>IFERROR(H24+H25,"")</f>
        <v>5984.3389731461539</v>
      </c>
    </row>
    <row r="24" spans="1:8" ht="21.75" customHeight="1" x14ac:dyDescent="0.25">
      <c r="A24" s="122" t="s">
        <v>240</v>
      </c>
      <c r="B24" s="25" t="s">
        <v>18</v>
      </c>
      <c r="C24" s="24">
        <f>Смета!J8</f>
        <v>82.507344481800004</v>
      </c>
      <c r="D24" s="91">
        <v>26</v>
      </c>
      <c r="E24" s="123" t="s">
        <v>1</v>
      </c>
      <c r="F24" s="17">
        <v>650</v>
      </c>
      <c r="G24" s="123" t="s">
        <v>1</v>
      </c>
      <c r="H24" s="24">
        <f>IFERROR(C24*1000/D24,"")</f>
        <v>3173.3594031461539</v>
      </c>
    </row>
    <row r="25" spans="1:8" ht="21.75" customHeight="1" x14ac:dyDescent="0.25">
      <c r="A25" s="122" t="s">
        <v>241</v>
      </c>
      <c r="B25" s="25" t="s">
        <v>17</v>
      </c>
      <c r="C25" s="24">
        <f>Смета!M8</f>
        <v>56.219591399999999</v>
      </c>
      <c r="D25" s="91">
        <v>20</v>
      </c>
      <c r="E25" s="123" t="s">
        <v>1</v>
      </c>
      <c r="F25" s="17">
        <v>105</v>
      </c>
      <c r="G25" s="123" t="s">
        <v>1</v>
      </c>
      <c r="H25" s="24">
        <f>IFERROR(C25*1000/D25,"")</f>
        <v>2810.97957</v>
      </c>
    </row>
    <row r="26" spans="1:8" ht="90.75" customHeight="1" x14ac:dyDescent="0.25">
      <c r="A26" s="18" t="s">
        <v>21</v>
      </c>
      <c r="B26" s="120" t="s">
        <v>360</v>
      </c>
      <c r="C26" s="19">
        <f>C27+C28</f>
        <v>3.1700641182000004</v>
      </c>
      <c r="D26" s="116">
        <f t="shared" ref="D26" si="1">D27+D28</f>
        <v>1</v>
      </c>
      <c r="E26" s="116">
        <f t="shared" ref="E26" si="2">E27+E28</f>
        <v>0</v>
      </c>
      <c r="F26" s="19">
        <f t="shared" ref="F26" si="3">F27+F28</f>
        <v>45</v>
      </c>
      <c r="G26" s="19">
        <f t="shared" ref="G26" si="4">G27+G28</f>
        <v>0</v>
      </c>
      <c r="H26" s="19" t="str">
        <f>IFERROR(H27+H28,"")</f>
        <v/>
      </c>
    </row>
    <row r="27" spans="1:8" ht="21.75" customHeight="1" x14ac:dyDescent="0.25">
      <c r="A27" s="122" t="s">
        <v>242</v>
      </c>
      <c r="B27" s="25" t="s">
        <v>18</v>
      </c>
      <c r="C27" s="24">
        <f>Смета!K8</f>
        <v>3.1700641182000004</v>
      </c>
      <c r="D27" s="91">
        <v>1</v>
      </c>
      <c r="E27" s="91">
        <v>0</v>
      </c>
      <c r="F27" s="17">
        <v>45</v>
      </c>
      <c r="G27" s="17">
        <v>0</v>
      </c>
      <c r="H27" s="24">
        <f>IFERROR(C27*1000/(D27+E27),"")</f>
        <v>3170.0641182000004</v>
      </c>
    </row>
    <row r="28" spans="1:8" ht="21.75" customHeight="1" x14ac:dyDescent="0.25">
      <c r="A28" s="122" t="s">
        <v>243</v>
      </c>
      <c r="B28" s="25" t="s">
        <v>17</v>
      </c>
      <c r="C28" s="24">
        <f>Смета!N8</f>
        <v>0</v>
      </c>
      <c r="D28" s="91">
        <v>0</v>
      </c>
      <c r="E28" s="91">
        <v>0</v>
      </c>
      <c r="F28" s="17">
        <v>0</v>
      </c>
      <c r="G28" s="17">
        <v>0</v>
      </c>
      <c r="H28" s="24" t="str">
        <f>IFERROR(C28*1000/(D28+E28),"")</f>
        <v/>
      </c>
    </row>
    <row r="29" spans="1:8" ht="25.5" customHeight="1" x14ac:dyDescent="0.25">
      <c r="A29" s="173" t="s">
        <v>232</v>
      </c>
      <c r="B29" s="173"/>
      <c r="C29" s="173"/>
      <c r="D29" s="173"/>
      <c r="E29" s="173"/>
      <c r="F29" s="173"/>
      <c r="G29" s="173"/>
      <c r="H29" s="173"/>
    </row>
    <row r="30" spans="1:8" ht="35.25" customHeight="1" x14ac:dyDescent="0.25">
      <c r="A30" s="18">
        <v>1</v>
      </c>
      <c r="B30" s="117" t="s">
        <v>16</v>
      </c>
      <c r="C30" s="19">
        <f>C31+C32</f>
        <v>41.058462135591597</v>
      </c>
      <c r="D30" s="116">
        <f>D31+D32</f>
        <v>25</v>
      </c>
      <c r="E30" s="116">
        <f>E31+E32</f>
        <v>0</v>
      </c>
      <c r="F30" s="19">
        <f>F31+F32</f>
        <v>1508.24</v>
      </c>
      <c r="G30" s="19">
        <f>G31+G32</f>
        <v>0</v>
      </c>
      <c r="H30" s="19">
        <f>IFERROR(H31+H32,"")</f>
        <v>3278.1470835877617</v>
      </c>
    </row>
    <row r="31" spans="1:8" ht="21.75" customHeight="1" x14ac:dyDescent="0.25">
      <c r="A31" s="122" t="s">
        <v>19</v>
      </c>
      <c r="B31" s="25" t="s">
        <v>18</v>
      </c>
      <c r="C31" s="24">
        <f>Смета!O8</f>
        <v>18.689399412591598</v>
      </c>
      <c r="D31" s="91">
        <v>12</v>
      </c>
      <c r="E31" s="91">
        <v>0</v>
      </c>
      <c r="F31" s="17">
        <v>1053.24</v>
      </c>
      <c r="G31" s="17">
        <v>0</v>
      </c>
      <c r="H31" s="24">
        <f>IFERROR(C31*1000/(D31+E31),"")</f>
        <v>1557.4499510492999</v>
      </c>
    </row>
    <row r="32" spans="1:8" ht="21.75" customHeight="1" x14ac:dyDescent="0.25">
      <c r="A32" s="122" t="s">
        <v>20</v>
      </c>
      <c r="B32" s="25" t="s">
        <v>17</v>
      </c>
      <c r="C32" s="24">
        <f>Смета!R8</f>
        <v>22.369062722999999</v>
      </c>
      <c r="D32" s="91">
        <v>13</v>
      </c>
      <c r="E32" s="91">
        <v>0</v>
      </c>
      <c r="F32" s="17">
        <v>455</v>
      </c>
      <c r="G32" s="17">
        <v>0</v>
      </c>
      <c r="H32" s="24">
        <f>IFERROR(C32*1000/(D32+E32),"")</f>
        <v>1720.6971325384616</v>
      </c>
    </row>
    <row r="33" spans="1:8" ht="35.25" customHeight="1" x14ac:dyDescent="0.25">
      <c r="A33" s="18">
        <v>2</v>
      </c>
      <c r="B33" s="117" t="s">
        <v>244</v>
      </c>
      <c r="C33" s="19" t="s">
        <v>1</v>
      </c>
      <c r="D33" s="116" t="s">
        <v>1</v>
      </c>
      <c r="E33" s="116" t="s">
        <v>1</v>
      </c>
      <c r="F33" s="19" t="s">
        <v>1</v>
      </c>
      <c r="G33" s="19" t="s">
        <v>1</v>
      </c>
      <c r="H33" s="19" t="s">
        <v>1</v>
      </c>
    </row>
    <row r="34" spans="1:8" ht="90.75" customHeight="1" x14ac:dyDescent="0.25">
      <c r="A34" s="18" t="s">
        <v>22</v>
      </c>
      <c r="B34" s="120" t="s">
        <v>361</v>
      </c>
      <c r="C34" s="19">
        <f>C35+C36</f>
        <v>91.896446475207014</v>
      </c>
      <c r="D34" s="116">
        <f>D35+D36</f>
        <v>23</v>
      </c>
      <c r="E34" s="123" t="s">
        <v>1</v>
      </c>
      <c r="F34" s="19">
        <f>F35+F36</f>
        <v>765</v>
      </c>
      <c r="G34" s="123" t="s">
        <v>1</v>
      </c>
      <c r="H34" s="19">
        <f>IFERROR(H35+H36,"")</f>
        <v>7990.8732565130085</v>
      </c>
    </row>
    <row r="35" spans="1:8" ht="21.75" customHeight="1" x14ac:dyDescent="0.25">
      <c r="A35" s="122" t="s">
        <v>240</v>
      </c>
      <c r="B35" s="25" t="s">
        <v>18</v>
      </c>
      <c r="C35" s="24">
        <f>Смета!P8</f>
        <v>39.949686198207004</v>
      </c>
      <c r="D35" s="91">
        <v>10</v>
      </c>
      <c r="E35" s="123" t="s">
        <v>1</v>
      </c>
      <c r="F35" s="17">
        <v>370</v>
      </c>
      <c r="G35" s="123" t="s">
        <v>1</v>
      </c>
      <c r="H35" s="24">
        <f>IFERROR(C35*1000/D35,"")</f>
        <v>3994.9686198207005</v>
      </c>
    </row>
    <row r="36" spans="1:8" ht="21.75" customHeight="1" x14ac:dyDescent="0.25">
      <c r="A36" s="122" t="s">
        <v>241</v>
      </c>
      <c r="B36" s="25" t="s">
        <v>17</v>
      </c>
      <c r="C36" s="24">
        <f>Смета!S8</f>
        <v>51.94676027700001</v>
      </c>
      <c r="D36" s="91">
        <v>13</v>
      </c>
      <c r="E36" s="123" t="s">
        <v>1</v>
      </c>
      <c r="F36" s="17">
        <v>395</v>
      </c>
      <c r="G36" s="123" t="s">
        <v>1</v>
      </c>
      <c r="H36" s="24">
        <f>IFERROR(C36*1000/D36,"")</f>
        <v>3995.9046366923085</v>
      </c>
    </row>
    <row r="37" spans="1:8" ht="90.75" customHeight="1" x14ac:dyDescent="0.25">
      <c r="A37" s="18" t="s">
        <v>21</v>
      </c>
      <c r="B37" s="120" t="s">
        <v>360</v>
      </c>
      <c r="C37" s="19">
        <f>C38+C39</f>
        <v>4.2350913892013997</v>
      </c>
      <c r="D37" s="116">
        <f t="shared" ref="D37" si="5">D38+D39</f>
        <v>1</v>
      </c>
      <c r="E37" s="116">
        <f t="shared" ref="E37" si="6">E38+E39</f>
        <v>0</v>
      </c>
      <c r="F37" s="19">
        <f t="shared" ref="F37" si="7">F38+F39</f>
        <v>173.5</v>
      </c>
      <c r="G37" s="19">
        <f t="shared" ref="G37" si="8">G38+G39</f>
        <v>0</v>
      </c>
      <c r="H37" s="19" t="str">
        <f>IFERROR(H38+H39,"")</f>
        <v/>
      </c>
    </row>
    <row r="38" spans="1:8" ht="21.75" customHeight="1" x14ac:dyDescent="0.25">
      <c r="A38" s="122" t="s">
        <v>242</v>
      </c>
      <c r="B38" s="25" t="s">
        <v>18</v>
      </c>
      <c r="C38" s="24">
        <f>Смета!Q8</f>
        <v>4.2350913892013997</v>
      </c>
      <c r="D38" s="91">
        <v>1</v>
      </c>
      <c r="E38" s="91">
        <v>0</v>
      </c>
      <c r="F38" s="17">
        <v>173.5</v>
      </c>
      <c r="G38" s="17">
        <v>0</v>
      </c>
      <c r="H38" s="24">
        <f>IFERROR(C38*1000/(D38+E38),"")</f>
        <v>4235.0913892013996</v>
      </c>
    </row>
    <row r="39" spans="1:8" ht="21.75" customHeight="1" x14ac:dyDescent="0.25">
      <c r="A39" s="122" t="s">
        <v>243</v>
      </c>
      <c r="B39" s="25" t="s">
        <v>17</v>
      </c>
      <c r="C39" s="24">
        <f>Смета!T8</f>
        <v>0</v>
      </c>
      <c r="D39" s="91">
        <v>0</v>
      </c>
      <c r="E39" s="91">
        <v>0</v>
      </c>
      <c r="F39" s="17">
        <v>0</v>
      </c>
      <c r="G39" s="17">
        <v>0</v>
      </c>
      <c r="H39" s="24" t="str">
        <f>IFERROR(C39*1000/(D39+E39),"")</f>
        <v/>
      </c>
    </row>
    <row r="40" spans="1:8" ht="21.75" customHeight="1" x14ac:dyDescent="0.25">
      <c r="A40" s="96"/>
      <c r="B40" s="97"/>
      <c r="C40" s="98"/>
      <c r="D40" s="99"/>
      <c r="E40" s="99"/>
      <c r="F40" s="96"/>
      <c r="G40" s="96"/>
      <c r="H40" s="98"/>
    </row>
    <row r="41" spans="1:8" ht="36" customHeight="1" x14ac:dyDescent="0.25">
      <c r="A41" s="173" t="s">
        <v>196</v>
      </c>
      <c r="B41" s="173"/>
      <c r="C41" s="173"/>
      <c r="D41" s="100"/>
      <c r="E41" s="101"/>
      <c r="F41" s="101"/>
      <c r="G41" s="101"/>
      <c r="H41" s="101"/>
    </row>
    <row r="42" spans="1:8" ht="36" customHeight="1" x14ac:dyDescent="0.25">
      <c r="A42" s="18">
        <v>1</v>
      </c>
      <c r="B42" s="95" t="s">
        <v>197</v>
      </c>
      <c r="C42" s="91">
        <v>5</v>
      </c>
      <c r="D42" s="102"/>
      <c r="E42" s="98"/>
      <c r="F42" s="103"/>
      <c r="G42" s="98"/>
      <c r="H42" s="103"/>
    </row>
    <row r="43" spans="1:8" ht="36" customHeight="1" x14ac:dyDescent="0.25">
      <c r="A43" s="18" t="s">
        <v>199</v>
      </c>
      <c r="B43" s="95" t="s">
        <v>198</v>
      </c>
      <c r="C43" s="91">
        <v>20</v>
      </c>
      <c r="D43" s="104"/>
      <c r="E43" s="98"/>
      <c r="F43" s="96"/>
      <c r="G43" s="98"/>
      <c r="H43" s="98"/>
    </row>
    <row r="44" spans="1:8" ht="36" customHeight="1" x14ac:dyDescent="0.25">
      <c r="A44" s="18" t="s">
        <v>200</v>
      </c>
      <c r="B44" s="95" t="s">
        <v>233</v>
      </c>
      <c r="C44" s="91">
        <v>5</v>
      </c>
      <c r="D44" s="104"/>
      <c r="E44" s="98"/>
      <c r="F44" s="96"/>
      <c r="G44" s="98"/>
      <c r="H44" s="98"/>
    </row>
    <row r="45" spans="1:8" ht="48.75" customHeight="1" x14ac:dyDescent="0.25">
      <c r="A45" s="18" t="s">
        <v>201</v>
      </c>
      <c r="B45" s="95" t="s">
        <v>301</v>
      </c>
      <c r="C45" s="134">
        <f>C46+C47</f>
        <v>0</v>
      </c>
      <c r="D45" s="102"/>
      <c r="E45" s="98"/>
      <c r="F45" s="103"/>
      <c r="G45" s="98"/>
      <c r="H45" s="103"/>
    </row>
    <row r="46" spans="1:8" ht="75" customHeight="1" x14ac:dyDescent="0.25">
      <c r="A46" s="132" t="s">
        <v>302</v>
      </c>
      <c r="B46" s="133" t="s">
        <v>304</v>
      </c>
      <c r="C46" s="91">
        <v>0</v>
      </c>
      <c r="D46" s="102"/>
      <c r="E46" s="98"/>
      <c r="F46" s="103"/>
      <c r="G46" s="98"/>
      <c r="H46" s="103"/>
    </row>
    <row r="47" spans="1:8" ht="75" customHeight="1" x14ac:dyDescent="0.25">
      <c r="A47" s="132" t="s">
        <v>303</v>
      </c>
      <c r="B47" s="133" t="s">
        <v>362</v>
      </c>
      <c r="C47" s="91">
        <v>0</v>
      </c>
      <c r="D47" s="102"/>
      <c r="E47" s="98"/>
      <c r="F47" s="103"/>
      <c r="G47" s="98"/>
      <c r="H47" s="103"/>
    </row>
    <row r="48" spans="1:8" x14ac:dyDescent="0.25">
      <c r="A48" s="14"/>
    </row>
    <row r="49" spans="1:3" ht="18.75" x14ac:dyDescent="0.3">
      <c r="A49" s="14"/>
      <c r="C49" s="168" t="s">
        <v>374</v>
      </c>
    </row>
    <row r="50" spans="1:3" x14ac:dyDescent="0.25">
      <c r="A50" s="14"/>
    </row>
    <row r="51" spans="1:3" x14ac:dyDescent="0.25">
      <c r="A51" s="14"/>
    </row>
    <row r="52" spans="1:3" x14ac:dyDescent="0.25">
      <c r="A52" s="14"/>
    </row>
    <row r="53" spans="1:3" x14ac:dyDescent="0.25">
      <c r="A53" s="14"/>
    </row>
    <row r="54" spans="1:3" x14ac:dyDescent="0.25">
      <c r="A54" s="14"/>
    </row>
    <row r="55" spans="1:3" x14ac:dyDescent="0.25">
      <c r="A55" s="14"/>
    </row>
    <row r="56" spans="1:3" x14ac:dyDescent="0.25">
      <c r="A56" s="14"/>
    </row>
  </sheetData>
  <mergeCells count="12">
    <mergeCell ref="A41:C41"/>
    <mergeCell ref="A2:H2"/>
    <mergeCell ref="A7:H7"/>
    <mergeCell ref="A3:A5"/>
    <mergeCell ref="B3:B5"/>
    <mergeCell ref="C4:C5"/>
    <mergeCell ref="D4:E4"/>
    <mergeCell ref="F4:G4"/>
    <mergeCell ref="C3:G3"/>
    <mergeCell ref="H3:H5"/>
    <mergeCell ref="A18:H18"/>
    <mergeCell ref="A29:H29"/>
  </mergeCells>
  <pageMargins left="0.70866141732283472" right="0.70866141732283472" top="0.74803149606299213" bottom="0.74803149606299213" header="0.31496062992125984" footer="0.31496062992125984"/>
  <pageSetup paperSize="9" scale="52" fitToHeight="99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44B0A-E0E5-47E8-AD4A-C34B4BED211C}">
  <sheetPr>
    <tabColor theme="9" tint="0.79998168889431442"/>
    <pageSetUpPr fitToPage="1"/>
  </sheetPr>
  <dimension ref="A1:Z28"/>
  <sheetViews>
    <sheetView view="pageBreakPreview" topLeftCell="A7" zoomScale="75" zoomScaleNormal="100" zoomScaleSheetLayoutView="75" workbookViewId="0">
      <selection activeCell="H45" sqref="H45"/>
    </sheetView>
  </sheetViews>
  <sheetFormatPr defaultRowHeight="15" x14ac:dyDescent="0.25"/>
  <cols>
    <col min="1" max="1" width="9.140625" customWidth="1"/>
    <col min="2" max="2" width="49.85546875" customWidth="1"/>
    <col min="3" max="20" width="17.7109375" customWidth="1"/>
  </cols>
  <sheetData>
    <row r="1" spans="1:26" ht="22.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" t="s">
        <v>26</v>
      </c>
    </row>
    <row r="2" spans="1:26" ht="32.25" customHeight="1" x14ac:dyDescent="0.25">
      <c r="A2" s="174" t="s">
        <v>220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6" ht="21" customHeight="1" x14ac:dyDescent="0.25">
      <c r="A3" s="13"/>
      <c r="B3" s="13"/>
      <c r="C3" s="13"/>
      <c r="D3" s="118"/>
      <c r="E3" s="13"/>
      <c r="F3" s="13"/>
      <c r="G3" s="118"/>
      <c r="H3" s="13"/>
      <c r="I3" s="13"/>
      <c r="J3" s="118"/>
      <c r="K3" s="13"/>
      <c r="L3" s="13"/>
      <c r="M3" s="118"/>
      <c r="N3" s="13"/>
      <c r="O3" s="13"/>
      <c r="P3" s="118"/>
      <c r="Q3" s="13"/>
      <c r="R3" s="13"/>
      <c r="S3" s="118"/>
      <c r="T3" s="20" t="s">
        <v>43</v>
      </c>
    </row>
    <row r="4" spans="1:26" ht="36" customHeight="1" x14ac:dyDescent="0.25">
      <c r="A4" s="184" t="s">
        <v>10</v>
      </c>
      <c r="B4" s="175" t="s">
        <v>25</v>
      </c>
      <c r="C4" s="181" t="s">
        <v>27</v>
      </c>
      <c r="D4" s="182"/>
      <c r="E4" s="182"/>
      <c r="F4" s="182"/>
      <c r="G4" s="182"/>
      <c r="H4" s="183"/>
      <c r="I4" s="181" t="s">
        <v>28</v>
      </c>
      <c r="J4" s="182"/>
      <c r="K4" s="182"/>
      <c r="L4" s="182"/>
      <c r="M4" s="182"/>
      <c r="N4" s="183"/>
      <c r="O4" s="181" t="s">
        <v>234</v>
      </c>
      <c r="P4" s="182"/>
      <c r="Q4" s="182"/>
      <c r="R4" s="182"/>
      <c r="S4" s="182"/>
      <c r="T4" s="183"/>
    </row>
    <row r="5" spans="1:26" ht="36" customHeight="1" x14ac:dyDescent="0.25">
      <c r="A5" s="185"/>
      <c r="B5" s="176"/>
      <c r="C5" s="181" t="s">
        <v>44</v>
      </c>
      <c r="D5" s="182"/>
      <c r="E5" s="183"/>
      <c r="F5" s="181" t="s">
        <v>45</v>
      </c>
      <c r="G5" s="182"/>
      <c r="H5" s="183"/>
      <c r="I5" s="181" t="s">
        <v>44</v>
      </c>
      <c r="J5" s="182"/>
      <c r="K5" s="183"/>
      <c r="L5" s="181" t="s">
        <v>45</v>
      </c>
      <c r="M5" s="182"/>
      <c r="N5" s="183"/>
      <c r="O5" s="181" t="s">
        <v>44</v>
      </c>
      <c r="P5" s="182"/>
      <c r="Q5" s="183"/>
      <c r="R5" s="181" t="s">
        <v>45</v>
      </c>
      <c r="S5" s="182"/>
      <c r="T5" s="183"/>
    </row>
    <row r="6" spans="1:26" ht="273.75" customHeight="1" x14ac:dyDescent="0.25">
      <c r="A6" s="186"/>
      <c r="B6" s="177"/>
      <c r="C6" s="2" t="s">
        <v>245</v>
      </c>
      <c r="D6" s="90" t="s">
        <v>246</v>
      </c>
      <c r="E6" s="2" t="s">
        <v>247</v>
      </c>
      <c r="F6" s="90" t="s">
        <v>245</v>
      </c>
      <c r="G6" s="90" t="s">
        <v>246</v>
      </c>
      <c r="H6" s="90" t="s">
        <v>247</v>
      </c>
      <c r="I6" s="90" t="s">
        <v>245</v>
      </c>
      <c r="J6" s="90" t="s">
        <v>246</v>
      </c>
      <c r="K6" s="90" t="s">
        <v>247</v>
      </c>
      <c r="L6" s="90" t="s">
        <v>245</v>
      </c>
      <c r="M6" s="90" t="s">
        <v>246</v>
      </c>
      <c r="N6" s="90" t="s">
        <v>247</v>
      </c>
      <c r="O6" s="90" t="s">
        <v>245</v>
      </c>
      <c r="P6" s="90" t="s">
        <v>246</v>
      </c>
      <c r="Q6" s="90" t="s">
        <v>247</v>
      </c>
      <c r="R6" s="90" t="s">
        <v>245</v>
      </c>
      <c r="S6" s="90" t="s">
        <v>246</v>
      </c>
      <c r="T6" s="90" t="s">
        <v>247</v>
      </c>
    </row>
    <row r="7" spans="1:26" ht="15" customHeight="1" x14ac:dyDescent="0.25">
      <c r="A7" s="16">
        <v>1</v>
      </c>
      <c r="B7" s="3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</row>
    <row r="8" spans="1:26" ht="30" x14ac:dyDescent="0.25">
      <c r="A8" s="18" t="s">
        <v>52</v>
      </c>
      <c r="B8" s="7" t="s">
        <v>49</v>
      </c>
      <c r="C8" s="21">
        <f>C9+C10+C11+C12+C13+C22</f>
        <v>37.483409600000002</v>
      </c>
      <c r="D8" s="21">
        <f>D9+D10+D11+D12+D13+D22</f>
        <v>71.639014699200004</v>
      </c>
      <c r="E8" s="21">
        <f t="shared" ref="E8:T8" si="0">E9+E10+E11+E12+E13+E22</f>
        <v>15.4071757008</v>
      </c>
      <c r="F8" s="21">
        <f t="shared" si="0"/>
        <v>52.620940399999988</v>
      </c>
      <c r="G8" s="21">
        <f t="shared" si="0"/>
        <v>122.19945959999998</v>
      </c>
      <c r="H8" s="21">
        <f t="shared" si="0"/>
        <v>0</v>
      </c>
      <c r="I8" s="21">
        <f t="shared" si="0"/>
        <v>36.893991399999997</v>
      </c>
      <c r="J8" s="21">
        <f t="shared" si="0"/>
        <v>82.507344481800004</v>
      </c>
      <c r="K8" s="21">
        <f t="shared" si="0"/>
        <v>3.1700641182000004</v>
      </c>
      <c r="L8" s="21">
        <f t="shared" si="0"/>
        <v>24.209008600000001</v>
      </c>
      <c r="M8" s="21">
        <f t="shared" si="0"/>
        <v>56.219591399999999</v>
      </c>
      <c r="N8" s="21">
        <f t="shared" si="0"/>
        <v>0</v>
      </c>
      <c r="O8" s="21">
        <f t="shared" si="0"/>
        <v>18.689399412591598</v>
      </c>
      <c r="P8" s="21">
        <f t="shared" si="0"/>
        <v>39.949686198207004</v>
      </c>
      <c r="Q8" s="21">
        <f t="shared" si="0"/>
        <v>4.2350913892013997</v>
      </c>
      <c r="R8" s="21">
        <f t="shared" si="0"/>
        <v>22.369062722999999</v>
      </c>
      <c r="S8" s="21">
        <f t="shared" si="0"/>
        <v>51.94676027700001</v>
      </c>
      <c r="T8" s="21">
        <f t="shared" si="0"/>
        <v>0</v>
      </c>
      <c r="V8" t="s">
        <v>373</v>
      </c>
      <c r="W8" t="s">
        <v>372</v>
      </c>
      <c r="X8" t="s">
        <v>371</v>
      </c>
      <c r="Y8" t="s">
        <v>369</v>
      </c>
      <c r="Z8" t="s">
        <v>370</v>
      </c>
    </row>
    <row r="9" spans="1:26" x14ac:dyDescent="0.25">
      <c r="A9" s="22" t="s">
        <v>19</v>
      </c>
      <c r="B9" s="23" t="s">
        <v>30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0.49070826000000001</v>
      </c>
      <c r="J9" s="17">
        <v>1.0973883256199999</v>
      </c>
      <c r="K9" s="17">
        <v>4.216341438E-2</v>
      </c>
      <c r="L9" s="17">
        <v>0.32199174000000003</v>
      </c>
      <c r="M9" s="17">
        <v>0.74774826000000005</v>
      </c>
      <c r="N9" s="17">
        <v>0</v>
      </c>
      <c r="O9" s="17">
        <v>0.68523710944920002</v>
      </c>
      <c r="P9" s="17">
        <v>1.4647344673590001</v>
      </c>
      <c r="Q9" s="17">
        <v>0.15527742319179999</v>
      </c>
      <c r="R9" s="17">
        <v>0.82015005100000005</v>
      </c>
      <c r="S9" s="17">
        <v>1.9046009490000004</v>
      </c>
      <c r="T9" s="17">
        <v>0</v>
      </c>
      <c r="U9">
        <v>0</v>
      </c>
      <c r="V9">
        <f>U9*58.4%</f>
        <v>0</v>
      </c>
      <c r="W9">
        <f>V9-X9</f>
        <v>0</v>
      </c>
      <c r="X9">
        <f>V9*30.1%</f>
        <v>0</v>
      </c>
      <c r="Y9">
        <f>W9*69.9%</f>
        <v>0</v>
      </c>
      <c r="Z9">
        <f>W9*17.7%</f>
        <v>0</v>
      </c>
    </row>
    <row r="10" spans="1:26" x14ac:dyDescent="0.25">
      <c r="A10" s="22" t="s">
        <v>20</v>
      </c>
      <c r="B10" s="23" t="s">
        <v>31</v>
      </c>
      <c r="C10" s="17">
        <v>0.11645088000000001</v>
      </c>
      <c r="D10" s="17">
        <v>0.22256316576000004</v>
      </c>
      <c r="E10" s="17">
        <v>4.7865954240000008E-2</v>
      </c>
      <c r="F10" s="17">
        <v>0.16347912000000001</v>
      </c>
      <c r="G10" s="17">
        <v>0.37964088000000007</v>
      </c>
      <c r="H10" s="17">
        <v>0</v>
      </c>
      <c r="I10" s="17">
        <v>7.2697520000000002E-2</v>
      </c>
      <c r="J10" s="17">
        <v>0.16257604823999999</v>
      </c>
      <c r="K10" s="17">
        <v>6.2464317600000006E-3</v>
      </c>
      <c r="L10" s="17">
        <v>4.7702479999999998E-2</v>
      </c>
      <c r="M10" s="17">
        <v>0.11077752000000002</v>
      </c>
      <c r="N10" s="17">
        <v>0</v>
      </c>
      <c r="O10" s="17">
        <v>5.4492016656000009E-2</v>
      </c>
      <c r="P10" s="17">
        <v>0.11647987812000002</v>
      </c>
      <c r="Q10" s="17">
        <v>1.2348105224000001E-2</v>
      </c>
      <c r="R10" s="17">
        <v>6.5220680000000003E-2</v>
      </c>
      <c r="S10" s="17">
        <v>0.15145932000000004</v>
      </c>
      <c r="T10" s="17">
        <v>0</v>
      </c>
      <c r="U10" s="167">
        <v>0.93</v>
      </c>
      <c r="V10">
        <f>U10*58.4%</f>
        <v>0.54312000000000005</v>
      </c>
      <c r="W10">
        <f>V10-X10</f>
        <v>0.37964088000000007</v>
      </c>
      <c r="X10">
        <f>V10*30.1%</f>
        <v>0.16347912000000001</v>
      </c>
      <c r="Y10">
        <f>W10*69.9%</f>
        <v>0.26536897512000007</v>
      </c>
      <c r="Z10">
        <f>W10*17.7%</f>
        <v>6.7196435760000006E-2</v>
      </c>
    </row>
    <row r="11" spans="1:26" x14ac:dyDescent="0.25">
      <c r="A11" s="22" t="s">
        <v>53</v>
      </c>
      <c r="B11" s="23" t="s">
        <v>32</v>
      </c>
      <c r="C11" s="17">
        <v>10.448023040000001</v>
      </c>
      <c r="D11" s="17">
        <v>19.96846295808</v>
      </c>
      <c r="E11" s="17">
        <v>4.2945540019199999</v>
      </c>
      <c r="F11" s="17">
        <v>14.667416959999997</v>
      </c>
      <c r="G11" s="17">
        <v>34.061543039999997</v>
      </c>
      <c r="H11" s="17">
        <v>0</v>
      </c>
      <c r="I11" s="17">
        <v>21.918302279999999</v>
      </c>
      <c r="J11" s="17">
        <v>49.016678544359998</v>
      </c>
      <c r="K11" s="17">
        <v>1.8832991756400004</v>
      </c>
      <c r="L11" s="17">
        <v>14.382297719999999</v>
      </c>
      <c r="M11" s="17">
        <v>33.399422280000003</v>
      </c>
      <c r="N11" s="17">
        <v>0</v>
      </c>
      <c r="O11" s="17">
        <v>5.2366828006415984</v>
      </c>
      <c r="P11" s="17">
        <v>11.193716287331998</v>
      </c>
      <c r="Q11" s="17">
        <v>1.1866529120263998</v>
      </c>
      <c r="R11" s="17">
        <v>6.2677073480000001</v>
      </c>
      <c r="S11" s="17">
        <v>14.555240652000002</v>
      </c>
      <c r="T11" s="17">
        <v>0</v>
      </c>
      <c r="U11">
        <v>83.44</v>
      </c>
      <c r="V11">
        <f>U11*58.4%</f>
        <v>48.728959999999994</v>
      </c>
      <c r="W11">
        <f>V11-X11</f>
        <v>34.061543039999997</v>
      </c>
      <c r="X11">
        <f>V11*30.1%</f>
        <v>14.667416959999997</v>
      </c>
      <c r="Y11">
        <f>W11*69.9%</f>
        <v>23.80901858496</v>
      </c>
      <c r="Z11">
        <f>W11*17.7%</f>
        <v>6.0288931180799992</v>
      </c>
    </row>
    <row r="12" spans="1:26" x14ac:dyDescent="0.25">
      <c r="A12" s="22" t="s">
        <v>54</v>
      </c>
      <c r="B12" s="23" t="s">
        <v>33</v>
      </c>
      <c r="C12" s="17">
        <v>3.1491823999999999</v>
      </c>
      <c r="D12" s="17">
        <v>6.0187780848000001</v>
      </c>
      <c r="E12" s="17">
        <v>1.2944395152000001</v>
      </c>
      <c r="F12" s="17">
        <v>4.4209675999999991</v>
      </c>
      <c r="G12" s="17">
        <v>10.266632399999999</v>
      </c>
      <c r="H12" s="17">
        <v>0</v>
      </c>
      <c r="I12" s="17">
        <v>6.1792891999999995</v>
      </c>
      <c r="J12" s="17">
        <v>13.818964100399999</v>
      </c>
      <c r="K12" s="17">
        <v>0.53094669960000007</v>
      </c>
      <c r="L12" s="17">
        <v>4.0547107999999996</v>
      </c>
      <c r="M12" s="17">
        <v>9.4160892000000018</v>
      </c>
      <c r="N12" s="17">
        <v>0</v>
      </c>
      <c r="O12" s="17">
        <v>1.5925291867715998</v>
      </c>
      <c r="P12" s="17">
        <v>3.4041244380570004</v>
      </c>
      <c r="Q12" s="17">
        <v>0.36087337517139995</v>
      </c>
      <c r="R12" s="17">
        <v>1.906074373</v>
      </c>
      <c r="S12" s="17">
        <v>4.4263986270000002</v>
      </c>
      <c r="T12" s="17">
        <v>0</v>
      </c>
      <c r="U12">
        <v>25.15</v>
      </c>
      <c r="V12">
        <f>U12*58.4%</f>
        <v>14.687599999999998</v>
      </c>
      <c r="W12">
        <f>V12-X12</f>
        <v>10.266632399999999</v>
      </c>
      <c r="X12">
        <f>V12*30.1%</f>
        <v>4.4209675999999991</v>
      </c>
      <c r="Y12">
        <f>W12*69.9%</f>
        <v>7.1763760475999998</v>
      </c>
      <c r="Z12">
        <f>W12*17.7%</f>
        <v>1.8171939347999997</v>
      </c>
    </row>
    <row r="13" spans="1:26" x14ac:dyDescent="0.25">
      <c r="A13" s="18" t="s">
        <v>29</v>
      </c>
      <c r="B13" s="7" t="s">
        <v>34</v>
      </c>
      <c r="C13" s="21">
        <f>C14+C15+C16</f>
        <v>0.38691744000000006</v>
      </c>
      <c r="D13" s="21">
        <f>D14+D15+D16</f>
        <v>0.73948406688000012</v>
      </c>
      <c r="E13" s="21">
        <f t="shared" ref="E13:T13" si="1">E14+E15+E16</f>
        <v>0.15903849312000001</v>
      </c>
      <c r="F13" s="21">
        <f t="shared" si="1"/>
        <v>0.54317255999999992</v>
      </c>
      <c r="G13" s="21">
        <f t="shared" si="1"/>
        <v>1.26138744</v>
      </c>
      <c r="H13" s="21">
        <f t="shared" si="1"/>
        <v>0</v>
      </c>
      <c r="I13" s="21">
        <f t="shared" si="1"/>
        <v>0.23626693999999998</v>
      </c>
      <c r="J13" s="21">
        <f t="shared" si="1"/>
        <v>0.52837215677999994</v>
      </c>
      <c r="K13" s="21">
        <f t="shared" si="1"/>
        <v>2.0300903219999999E-2</v>
      </c>
      <c r="L13" s="21">
        <f t="shared" si="1"/>
        <v>0.15503305999999997</v>
      </c>
      <c r="M13" s="21">
        <f t="shared" si="1"/>
        <v>0.36002694000000002</v>
      </c>
      <c r="N13" s="21">
        <f t="shared" si="1"/>
        <v>0</v>
      </c>
      <c r="O13" s="21">
        <f t="shared" si="1"/>
        <v>0.15257764663680001</v>
      </c>
      <c r="P13" s="21">
        <f t="shared" si="1"/>
        <v>0.32614365873600004</v>
      </c>
      <c r="Q13" s="21">
        <f t="shared" si="1"/>
        <v>3.4574694627200003E-2</v>
      </c>
      <c r="R13" s="21">
        <f t="shared" si="1"/>
        <v>0.18261790400000003</v>
      </c>
      <c r="S13" s="21">
        <f t="shared" si="1"/>
        <v>0.42408609600000013</v>
      </c>
      <c r="T13" s="21">
        <f t="shared" si="1"/>
        <v>0</v>
      </c>
    </row>
    <row r="14" spans="1:26" ht="20.25" customHeight="1" x14ac:dyDescent="0.25">
      <c r="A14" s="22" t="s">
        <v>55</v>
      </c>
      <c r="B14" s="23" t="s">
        <v>39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</row>
    <row r="15" spans="1:26" ht="36.75" customHeight="1" x14ac:dyDescent="0.25">
      <c r="A15" s="22" t="s">
        <v>56</v>
      </c>
      <c r="B15" s="23" t="s">
        <v>48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</row>
    <row r="16" spans="1:26" ht="30" x14ac:dyDescent="0.25">
      <c r="A16" s="18" t="s">
        <v>57</v>
      </c>
      <c r="B16" s="7" t="s">
        <v>50</v>
      </c>
      <c r="C16" s="21">
        <f>C17+C18+C19+C20+C21</f>
        <v>0.38691744000000006</v>
      </c>
      <c r="D16" s="21">
        <f>D17+D18+D19+D20+D21</f>
        <v>0.73948406688000012</v>
      </c>
      <c r="E16" s="21">
        <f t="shared" ref="E16:T16" si="2">E17+E18+E19+E20+E21</f>
        <v>0.15903849312000001</v>
      </c>
      <c r="F16" s="21">
        <f t="shared" si="2"/>
        <v>0.54317255999999992</v>
      </c>
      <c r="G16" s="21">
        <f t="shared" si="2"/>
        <v>1.26138744</v>
      </c>
      <c r="H16" s="21">
        <f t="shared" si="2"/>
        <v>0</v>
      </c>
      <c r="I16" s="21">
        <f t="shared" si="2"/>
        <v>0.23626693999999998</v>
      </c>
      <c r="J16" s="21">
        <f t="shared" si="2"/>
        <v>0.52837215677999994</v>
      </c>
      <c r="K16" s="21">
        <f t="shared" si="2"/>
        <v>2.0300903219999999E-2</v>
      </c>
      <c r="L16" s="21">
        <f t="shared" si="2"/>
        <v>0.15503305999999997</v>
      </c>
      <c r="M16" s="21">
        <f t="shared" si="2"/>
        <v>0.36002694000000002</v>
      </c>
      <c r="N16" s="21">
        <f t="shared" si="2"/>
        <v>0</v>
      </c>
      <c r="O16" s="21">
        <f t="shared" si="2"/>
        <v>0.15257764663680001</v>
      </c>
      <c r="P16" s="21">
        <f t="shared" si="2"/>
        <v>0.32614365873600004</v>
      </c>
      <c r="Q16" s="21">
        <f t="shared" si="2"/>
        <v>3.4574694627200003E-2</v>
      </c>
      <c r="R16" s="21">
        <f t="shared" si="2"/>
        <v>0.18261790400000003</v>
      </c>
      <c r="S16" s="21">
        <f t="shared" si="2"/>
        <v>0.42408609600000013</v>
      </c>
      <c r="T16" s="21">
        <f t="shared" si="2"/>
        <v>0</v>
      </c>
    </row>
    <row r="17" spans="1:26" x14ac:dyDescent="0.25">
      <c r="A17" s="22" t="s">
        <v>58</v>
      </c>
      <c r="B17" s="23" t="s">
        <v>35</v>
      </c>
      <c r="C17" s="17">
        <v>0.12521599999999999</v>
      </c>
      <c r="D17" s="17">
        <v>0.23931523200000002</v>
      </c>
      <c r="E17" s="17">
        <v>5.1468768000000005E-2</v>
      </c>
      <c r="F17" s="17">
        <v>0.175784</v>
      </c>
      <c r="G17" s="17">
        <v>0.40821599999999997</v>
      </c>
      <c r="H17" s="17">
        <v>0</v>
      </c>
      <c r="I17" s="17">
        <v>7.2697520000000002E-2</v>
      </c>
      <c r="J17" s="17">
        <v>0.16257604823999999</v>
      </c>
      <c r="K17" s="17">
        <v>6.2464317600000006E-3</v>
      </c>
      <c r="L17" s="17">
        <v>4.7702479999999998E-2</v>
      </c>
      <c r="M17" s="17">
        <v>0.11077752000000002</v>
      </c>
      <c r="N17" s="17">
        <v>0</v>
      </c>
      <c r="O17" s="17">
        <v>4.4955913741200004E-2</v>
      </c>
      <c r="P17" s="17">
        <v>9.609589944900003E-2</v>
      </c>
      <c r="Q17" s="17">
        <v>1.01871868098E-2</v>
      </c>
      <c r="R17" s="17">
        <v>5.380706100000001E-2</v>
      </c>
      <c r="S17" s="17">
        <v>0.12495393900000003</v>
      </c>
      <c r="T17" s="17">
        <v>0</v>
      </c>
      <c r="U17">
        <v>1</v>
      </c>
      <c r="V17">
        <f>U17*58.4%</f>
        <v>0.58399999999999996</v>
      </c>
      <c r="W17">
        <f>V17-X17</f>
        <v>0.40821599999999997</v>
      </c>
      <c r="X17">
        <f>V17*30.1%</f>
        <v>0.175784</v>
      </c>
      <c r="Y17">
        <f>W17*69.9%</f>
        <v>0.28534298400000002</v>
      </c>
      <c r="Z17">
        <f>W17*17.7%</f>
        <v>7.2254231999999988E-2</v>
      </c>
    </row>
    <row r="18" spans="1:26" x14ac:dyDescent="0.25">
      <c r="A18" s="22" t="s">
        <v>59</v>
      </c>
      <c r="B18" s="23" t="s">
        <v>36</v>
      </c>
      <c r="C18" s="17">
        <v>9.5164160000000012E-2</v>
      </c>
      <c r="D18" s="17">
        <v>0.18187957632000004</v>
      </c>
      <c r="E18" s="17">
        <v>3.9116263680000006E-2</v>
      </c>
      <c r="F18" s="17">
        <v>0.13359583999999999</v>
      </c>
      <c r="G18" s="17">
        <v>0.31024415999999999</v>
      </c>
      <c r="H18" s="17">
        <v>0</v>
      </c>
      <c r="I18" s="17">
        <v>5.4523139999999998E-2</v>
      </c>
      <c r="J18" s="17">
        <v>0.12193203617999999</v>
      </c>
      <c r="K18" s="17">
        <v>4.6848238200000005E-3</v>
      </c>
      <c r="L18" s="17">
        <v>3.5776859999999994E-2</v>
      </c>
      <c r="M18" s="17">
        <v>8.308314E-2</v>
      </c>
      <c r="N18" s="17">
        <v>0</v>
      </c>
      <c r="O18" s="17">
        <v>3.2695209993599997E-2</v>
      </c>
      <c r="P18" s="17">
        <v>6.9887926872000003E-2</v>
      </c>
      <c r="Q18" s="17">
        <v>7.4088631343999997E-3</v>
      </c>
      <c r="R18" s="17">
        <v>3.9132408E-2</v>
      </c>
      <c r="S18" s="17">
        <v>9.0875592000000019E-2</v>
      </c>
      <c r="T18" s="17">
        <v>0</v>
      </c>
      <c r="U18">
        <v>0.76</v>
      </c>
      <c r="V18">
        <f>U18*58.4%</f>
        <v>0.44383999999999996</v>
      </c>
      <c r="W18">
        <f>V18-X18</f>
        <v>0.31024415999999999</v>
      </c>
      <c r="X18">
        <f>V18*30.1%</f>
        <v>0.13359583999999999</v>
      </c>
      <c r="Y18">
        <f>W18*69.9%</f>
        <v>0.21686066784000002</v>
      </c>
      <c r="Z18">
        <f>W18*17.7%</f>
        <v>5.4913216319999993E-2</v>
      </c>
    </row>
    <row r="19" spans="1:26" ht="45" x14ac:dyDescent="0.25">
      <c r="A19" s="22" t="s">
        <v>60</v>
      </c>
      <c r="B19" s="23" t="s">
        <v>51</v>
      </c>
      <c r="C19" s="17">
        <v>0.16653728000000004</v>
      </c>
      <c r="D19" s="17">
        <v>0.31828925856000007</v>
      </c>
      <c r="E19" s="17">
        <v>6.8453461440000016E-2</v>
      </c>
      <c r="F19" s="17">
        <v>0.23379271999999998</v>
      </c>
      <c r="G19" s="17">
        <v>0.54292728000000001</v>
      </c>
      <c r="H19" s="17">
        <v>0</v>
      </c>
      <c r="I19" s="17">
        <v>0.10904628</v>
      </c>
      <c r="J19" s="17">
        <v>0.24386407235999999</v>
      </c>
      <c r="K19" s="17">
        <v>9.369647640000001E-3</v>
      </c>
      <c r="L19" s="17">
        <v>7.1553719999999987E-2</v>
      </c>
      <c r="M19" s="17">
        <v>0.16616628</v>
      </c>
      <c r="N19" s="17">
        <v>0</v>
      </c>
      <c r="O19" s="17">
        <v>7.4926522902000012E-2</v>
      </c>
      <c r="P19" s="17">
        <v>0.16015983241500004</v>
      </c>
      <c r="Q19" s="17">
        <v>1.6978644683000001E-2</v>
      </c>
      <c r="R19" s="17">
        <v>8.9678435000000015E-2</v>
      </c>
      <c r="S19" s="17">
        <v>0.20825656500000006</v>
      </c>
      <c r="T19" s="17">
        <v>0</v>
      </c>
      <c r="U19">
        <v>1.33</v>
      </c>
      <c r="V19">
        <f>U19*58.4%</f>
        <v>0.77671999999999997</v>
      </c>
      <c r="W19">
        <f>V19-X19</f>
        <v>0.54292728000000001</v>
      </c>
      <c r="X19">
        <f>V19*30.1%</f>
        <v>0.23379271999999998</v>
      </c>
      <c r="Y19">
        <f>W19*69.9%</f>
        <v>0.37950616872000004</v>
      </c>
      <c r="Z19">
        <f>W19*17.7%</f>
        <v>9.6098128559999996E-2</v>
      </c>
    </row>
    <row r="20" spans="1:26" x14ac:dyDescent="0.25">
      <c r="A20" s="22" t="s">
        <v>61</v>
      </c>
      <c r="B20" s="23" t="s">
        <v>37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</row>
    <row r="21" spans="1:26" ht="30" x14ac:dyDescent="0.25">
      <c r="A21" s="22" t="s">
        <v>62</v>
      </c>
      <c r="B21" s="23" t="s">
        <v>47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</row>
    <row r="22" spans="1:26" x14ac:dyDescent="0.25">
      <c r="A22" s="18" t="s">
        <v>63</v>
      </c>
      <c r="B22" s="7" t="s">
        <v>38</v>
      </c>
      <c r="C22" s="21">
        <f>C23+C24+C25+C26</f>
        <v>23.382835839999998</v>
      </c>
      <c r="D22" s="21">
        <f>D23+D24+D25+D26</f>
        <v>44.68972642368</v>
      </c>
      <c r="E22" s="21">
        <f t="shared" ref="E22:T22" si="3">E23+E24+E25+E26</f>
        <v>9.6112777363199999</v>
      </c>
      <c r="F22" s="21">
        <f t="shared" si="3"/>
        <v>32.825904159999993</v>
      </c>
      <c r="G22" s="21">
        <f t="shared" si="3"/>
        <v>76.230255839999984</v>
      </c>
      <c r="H22" s="21">
        <f t="shared" si="3"/>
        <v>0</v>
      </c>
      <c r="I22" s="21">
        <f t="shared" si="3"/>
        <v>7.9967271999999996</v>
      </c>
      <c r="J22" s="21">
        <f t="shared" si="3"/>
        <v>17.883365306400002</v>
      </c>
      <c r="K22" s="21">
        <f t="shared" si="3"/>
        <v>0.68710749360000012</v>
      </c>
      <c r="L22" s="21">
        <f t="shared" si="3"/>
        <v>5.2472728000000002</v>
      </c>
      <c r="M22" s="21">
        <f t="shared" si="3"/>
        <v>12.185527199999999</v>
      </c>
      <c r="N22" s="21">
        <f t="shared" si="3"/>
        <v>0</v>
      </c>
      <c r="O22" s="21">
        <f t="shared" si="3"/>
        <v>10.967880652436399</v>
      </c>
      <c r="P22" s="21">
        <f t="shared" si="3"/>
        <v>23.444487468603004</v>
      </c>
      <c r="Q22" s="21">
        <f t="shared" si="3"/>
        <v>2.4853648789606</v>
      </c>
      <c r="R22" s="21">
        <f t="shared" si="3"/>
        <v>13.127292367000001</v>
      </c>
      <c r="S22" s="21">
        <f t="shared" si="3"/>
        <v>30.484974633000007</v>
      </c>
      <c r="T22" s="21">
        <f t="shared" si="3"/>
        <v>0</v>
      </c>
    </row>
    <row r="23" spans="1:26" x14ac:dyDescent="0.25">
      <c r="A23" s="22" t="s">
        <v>64</v>
      </c>
      <c r="B23" s="23" t="s">
        <v>40</v>
      </c>
      <c r="C23" s="17">
        <v>1.7530240000000002E-2</v>
      </c>
      <c r="D23" s="17">
        <v>3.3504132480000011E-2</v>
      </c>
      <c r="E23" s="17">
        <v>7.2056275200000014E-3</v>
      </c>
      <c r="F23" s="17">
        <v>2.4609759999999998E-2</v>
      </c>
      <c r="G23" s="17">
        <v>5.7150240000000005E-2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1.3623004164000002E-2</v>
      </c>
      <c r="P23" s="17">
        <v>2.9119969530000005E-2</v>
      </c>
      <c r="Q23" s="17">
        <v>3.0870263060000002E-3</v>
      </c>
      <c r="R23" s="17">
        <v>1.6305170000000001E-2</v>
      </c>
      <c r="S23" s="17">
        <v>3.7864830000000009E-2</v>
      </c>
      <c r="T23" s="17">
        <v>0</v>
      </c>
      <c r="U23" s="167">
        <v>0.14000000000000001</v>
      </c>
      <c r="V23">
        <f>U23*58.4%</f>
        <v>8.1759999999999999E-2</v>
      </c>
      <c r="W23">
        <f>V23-X23</f>
        <v>5.7150240000000005E-2</v>
      </c>
      <c r="X23">
        <f>V23*30.1%</f>
        <v>2.4609759999999998E-2</v>
      </c>
      <c r="Y23">
        <f>W23*69.9%</f>
        <v>3.994801776000001E-2</v>
      </c>
      <c r="Z23">
        <f>W23*17.7%</f>
        <v>1.0115592480000001E-2</v>
      </c>
    </row>
    <row r="24" spans="1:26" x14ac:dyDescent="0.25">
      <c r="A24" s="22" t="s">
        <v>65</v>
      </c>
      <c r="B24" s="23" t="s">
        <v>41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</row>
    <row r="25" spans="1:26" x14ac:dyDescent="0.25">
      <c r="A25" s="22" t="s">
        <v>66</v>
      </c>
      <c r="B25" s="23" t="s">
        <v>42</v>
      </c>
      <c r="C25" s="17">
        <v>23.365305599999999</v>
      </c>
      <c r="D25" s="17">
        <v>44.656222291200002</v>
      </c>
      <c r="E25" s="17">
        <v>9.6040721088000005</v>
      </c>
      <c r="F25" s="17">
        <v>32.801294399999996</v>
      </c>
      <c r="G25" s="17">
        <v>76.173105599999985</v>
      </c>
      <c r="H25" s="17">
        <v>0</v>
      </c>
      <c r="I25" s="17">
        <v>7.9967271999999996</v>
      </c>
      <c r="J25" s="17">
        <v>17.883365306400002</v>
      </c>
      <c r="K25" s="17">
        <v>0.68710749360000012</v>
      </c>
      <c r="L25" s="17">
        <v>5.2472728000000002</v>
      </c>
      <c r="M25" s="17">
        <v>12.185527199999999</v>
      </c>
      <c r="N25" s="17">
        <v>0</v>
      </c>
      <c r="O25" s="17">
        <v>10.954257648272399</v>
      </c>
      <c r="P25" s="17">
        <v>23.415367499073003</v>
      </c>
      <c r="Q25" s="17">
        <v>2.4822778526546001</v>
      </c>
      <c r="R25" s="17">
        <v>13.110987197</v>
      </c>
      <c r="S25" s="17">
        <v>30.447109803000007</v>
      </c>
      <c r="T25" s="17">
        <v>0</v>
      </c>
      <c r="U25">
        <v>186.6</v>
      </c>
      <c r="V25">
        <f>U25*58.4%</f>
        <v>108.97439999999999</v>
      </c>
      <c r="W25">
        <f>V25-X25</f>
        <v>76.173105599999985</v>
      </c>
      <c r="X25">
        <f>V25*30.1%</f>
        <v>32.801294399999996</v>
      </c>
      <c r="Y25">
        <f>W25*69.9%</f>
        <v>53.245000814399994</v>
      </c>
      <c r="Z25">
        <f>W25*17.7%</f>
        <v>13.482639691199998</v>
      </c>
    </row>
    <row r="26" spans="1:26" ht="30" x14ac:dyDescent="0.25">
      <c r="A26" s="22" t="s">
        <v>67</v>
      </c>
      <c r="B26" s="23" t="s">
        <v>46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</row>
    <row r="28" spans="1:26" ht="18.75" x14ac:dyDescent="0.3">
      <c r="J28" s="168" t="s">
        <v>374</v>
      </c>
    </row>
  </sheetData>
  <mergeCells count="12">
    <mergeCell ref="I5:K5"/>
    <mergeCell ref="L5:N5"/>
    <mergeCell ref="O5:Q5"/>
    <mergeCell ref="R5:T5"/>
    <mergeCell ref="A2:T2"/>
    <mergeCell ref="O4:T4"/>
    <mergeCell ref="C4:H4"/>
    <mergeCell ref="I4:N4"/>
    <mergeCell ref="B4:B6"/>
    <mergeCell ref="A4:A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34" fitToHeight="99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61192-9E85-4D46-9AD9-917608D0DB02}">
  <sheetPr>
    <tabColor theme="8" tint="0.59999389629810485"/>
    <pageSetUpPr fitToPage="1"/>
  </sheetPr>
  <dimension ref="A1:H217"/>
  <sheetViews>
    <sheetView view="pageBreakPreview" topLeftCell="A55" zoomScaleNormal="100" zoomScaleSheetLayoutView="100" workbookViewId="0">
      <selection activeCell="E161" sqref="E161"/>
    </sheetView>
  </sheetViews>
  <sheetFormatPr defaultRowHeight="12" outlineLevelRow="1" x14ac:dyDescent="0.2"/>
  <cols>
    <col min="1" max="1" width="7.28515625" style="28" customWidth="1"/>
    <col min="2" max="2" width="46.28515625" style="28" customWidth="1"/>
    <col min="3" max="3" width="15.28515625" style="28" bestFit="1" customWidth="1"/>
    <col min="4" max="4" width="12.85546875" style="28" customWidth="1"/>
    <col min="5" max="5" width="13.28515625" style="28" customWidth="1"/>
    <col min="6" max="6" width="16.5703125" style="28" customWidth="1"/>
    <col min="7" max="7" width="12.85546875" style="28" customWidth="1"/>
    <col min="8" max="8" width="13.7109375" style="28" customWidth="1"/>
    <col min="9" max="16384" width="9.140625" style="28"/>
  </cols>
  <sheetData>
    <row r="1" spans="1:8" x14ac:dyDescent="0.2">
      <c r="A1" s="34"/>
      <c r="B1" s="34"/>
      <c r="C1" s="34"/>
      <c r="D1" s="34"/>
      <c r="E1" s="35"/>
      <c r="F1" s="34"/>
      <c r="G1" s="34"/>
      <c r="H1" s="35" t="s">
        <v>185</v>
      </c>
    </row>
    <row r="2" spans="1:8" ht="41.25" customHeight="1" x14ac:dyDescent="0.2">
      <c r="A2" s="188" t="s">
        <v>187</v>
      </c>
      <c r="B2" s="188"/>
      <c r="C2" s="188"/>
      <c r="D2" s="188"/>
      <c r="E2" s="188"/>
      <c r="F2" s="188"/>
      <c r="G2" s="188"/>
      <c r="H2" s="188"/>
    </row>
    <row r="3" spans="1:8" ht="27" customHeight="1" x14ac:dyDescent="0.2">
      <c r="A3" s="187" t="s">
        <v>68</v>
      </c>
      <c r="B3" s="187" t="s">
        <v>11</v>
      </c>
      <c r="C3" s="187" t="s">
        <v>237</v>
      </c>
      <c r="D3" s="187"/>
      <c r="E3" s="187"/>
      <c r="F3" s="187" t="s">
        <v>238</v>
      </c>
      <c r="G3" s="187"/>
      <c r="H3" s="187"/>
    </row>
    <row r="4" spans="1:8" ht="111" customHeight="1" x14ac:dyDescent="0.2">
      <c r="A4" s="187"/>
      <c r="B4" s="187"/>
      <c r="C4" s="51" t="s">
        <v>69</v>
      </c>
      <c r="D4" s="51" t="s">
        <v>363</v>
      </c>
      <c r="E4" s="119" t="s">
        <v>269</v>
      </c>
      <c r="F4" s="51" t="s">
        <v>345</v>
      </c>
      <c r="G4" s="119" t="s">
        <v>265</v>
      </c>
      <c r="H4" s="51" t="s">
        <v>269</v>
      </c>
    </row>
    <row r="5" spans="1:8" ht="37.5" customHeight="1" x14ac:dyDescent="0.2">
      <c r="A5" s="187"/>
      <c r="B5" s="187"/>
      <c r="C5" s="51" t="s">
        <v>268</v>
      </c>
      <c r="D5" s="51" t="s">
        <v>266</v>
      </c>
      <c r="E5" s="51" t="s">
        <v>267</v>
      </c>
      <c r="F5" s="51" t="s">
        <v>268</v>
      </c>
      <c r="G5" s="51" t="s">
        <v>266</v>
      </c>
      <c r="H5" s="51" t="s">
        <v>267</v>
      </c>
    </row>
    <row r="6" spans="1:8" ht="12" customHeight="1" x14ac:dyDescent="0.2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  <c r="H6" s="126">
        <v>8</v>
      </c>
    </row>
    <row r="7" spans="1:8" ht="36.75" customHeight="1" x14ac:dyDescent="0.2">
      <c r="A7" s="51">
        <v>1</v>
      </c>
      <c r="B7" s="52" t="s">
        <v>71</v>
      </c>
      <c r="C7" s="131" t="str">
        <f>IFERROR(E7*1000/D7,"×")</f>
        <v>×</v>
      </c>
      <c r="D7" s="53">
        <f>D8</f>
        <v>0</v>
      </c>
      <c r="E7" s="53">
        <f t="shared" ref="E7:H7" si="0">SUM(E8:E9)</f>
        <v>0</v>
      </c>
      <c r="F7" s="54">
        <f t="shared" si="0"/>
        <v>9317</v>
      </c>
      <c r="G7" s="53">
        <f>D7</f>
        <v>0</v>
      </c>
      <c r="H7" s="53">
        <f t="shared" si="0"/>
        <v>0</v>
      </c>
    </row>
    <row r="8" spans="1:8" ht="26.25" customHeight="1" x14ac:dyDescent="0.2">
      <c r="A8" s="127" t="s">
        <v>19</v>
      </c>
      <c r="B8" s="52" t="s">
        <v>249</v>
      </c>
      <c r="C8" s="131" t="str">
        <f>IFERROR(E8*1000/D8,"×")</f>
        <v>×</v>
      </c>
      <c r="D8" s="70"/>
      <c r="E8" s="55"/>
      <c r="F8" s="125">
        <v>4972</v>
      </c>
      <c r="G8" s="53">
        <f>D8</f>
        <v>0</v>
      </c>
      <c r="H8" s="53">
        <f>F8*G8/1000</f>
        <v>0</v>
      </c>
    </row>
    <row r="9" spans="1:8" ht="36" customHeight="1" x14ac:dyDescent="0.2">
      <c r="A9" s="127" t="s">
        <v>20</v>
      </c>
      <c r="B9" s="52" t="s">
        <v>250</v>
      </c>
      <c r="C9" s="131" t="str">
        <f>IFERROR(E9*1000/D9,"×")</f>
        <v>×</v>
      </c>
      <c r="D9" s="53">
        <f>D8</f>
        <v>0</v>
      </c>
      <c r="E9" s="55"/>
      <c r="F9" s="125">
        <v>4345</v>
      </c>
      <c r="G9" s="53">
        <f>D9</f>
        <v>0</v>
      </c>
      <c r="H9" s="53">
        <f>F9*G9/1000</f>
        <v>0</v>
      </c>
    </row>
    <row r="10" spans="1:8" ht="49.5" customHeight="1" x14ac:dyDescent="0.2">
      <c r="A10" s="127" t="s">
        <v>199</v>
      </c>
      <c r="B10" s="52" t="s">
        <v>364</v>
      </c>
      <c r="C10" s="57"/>
      <c r="D10" s="57"/>
      <c r="E10" s="53">
        <f>SUM(E12,E39,E56,E63,E109,E114,E141,E158,E165,E210)</f>
        <v>0</v>
      </c>
      <c r="F10" s="56"/>
      <c r="G10" s="57"/>
      <c r="H10" s="53">
        <f>SUM(H12,H39,H56,H63,H109)</f>
        <v>0</v>
      </c>
    </row>
    <row r="11" spans="1:8" ht="13.5" customHeight="1" x14ac:dyDescent="0.2">
      <c r="A11" s="187" t="s">
        <v>286</v>
      </c>
      <c r="B11" s="187"/>
      <c r="C11" s="52"/>
      <c r="D11" s="52"/>
      <c r="E11" s="52"/>
      <c r="F11" s="58"/>
      <c r="G11" s="52"/>
      <c r="H11" s="52"/>
    </row>
    <row r="12" spans="1:8" ht="13.5" customHeight="1" x14ac:dyDescent="0.2">
      <c r="A12" s="127" t="s">
        <v>22</v>
      </c>
      <c r="B12" s="52" t="s">
        <v>76</v>
      </c>
      <c r="C12" s="59"/>
      <c r="D12" s="60">
        <f>SUM(D13,D26)</f>
        <v>0</v>
      </c>
      <c r="E12" s="60">
        <f>SUM(E13,E26)</f>
        <v>0</v>
      </c>
      <c r="F12" s="58"/>
      <c r="G12" s="60">
        <f>SUM(G13,G26)</f>
        <v>0</v>
      </c>
      <c r="H12" s="60">
        <f>SUM(H13,H26)</f>
        <v>0</v>
      </c>
    </row>
    <row r="13" spans="1:8" ht="13.5" customHeight="1" x14ac:dyDescent="0.2">
      <c r="A13" s="127" t="s">
        <v>240</v>
      </c>
      <c r="B13" s="52" t="s">
        <v>77</v>
      </c>
      <c r="C13" s="59"/>
      <c r="D13" s="60">
        <f>SUM(D14:D25)</f>
        <v>0</v>
      </c>
      <c r="E13" s="60">
        <f>SUM(E14:E25)</f>
        <v>0</v>
      </c>
      <c r="F13" s="58"/>
      <c r="G13" s="60">
        <f>SUM(G14:G25)</f>
        <v>0</v>
      </c>
      <c r="H13" s="60">
        <f>SUM(H14:H25)</f>
        <v>0</v>
      </c>
    </row>
    <row r="14" spans="1:8" ht="13.5" customHeight="1" outlineLevel="1" x14ac:dyDescent="0.2">
      <c r="A14" s="127"/>
      <c r="B14" s="52" t="s">
        <v>78</v>
      </c>
      <c r="C14" s="130" t="str">
        <f t="shared" ref="C14:C62" si="1">IFERROR(E14*1000/D14,"×")</f>
        <v>×</v>
      </c>
      <c r="D14" s="67"/>
      <c r="E14" s="61"/>
      <c r="F14" s="125">
        <v>928059</v>
      </c>
      <c r="G14" s="60">
        <f>D14</f>
        <v>0</v>
      </c>
      <c r="H14" s="62">
        <f>G14*F14/1000</f>
        <v>0</v>
      </c>
    </row>
    <row r="15" spans="1:8" ht="13.5" customHeight="1" outlineLevel="1" x14ac:dyDescent="0.2">
      <c r="A15" s="127"/>
      <c r="B15" s="52" t="s">
        <v>202</v>
      </c>
      <c r="C15" s="130" t="str">
        <f t="shared" si="1"/>
        <v>×</v>
      </c>
      <c r="D15" s="67"/>
      <c r="E15" s="61"/>
      <c r="F15" s="125">
        <v>1084492</v>
      </c>
      <c r="G15" s="60">
        <f t="shared" ref="G15:G25" si="2">D15</f>
        <v>0</v>
      </c>
      <c r="H15" s="62">
        <f t="shared" ref="H15:H25" si="3">G15*F15/1000</f>
        <v>0</v>
      </c>
    </row>
    <row r="16" spans="1:8" ht="13.5" customHeight="1" outlineLevel="1" x14ac:dyDescent="0.2">
      <c r="A16" s="127"/>
      <c r="B16" s="52" t="s">
        <v>203</v>
      </c>
      <c r="C16" s="130" t="str">
        <f t="shared" si="1"/>
        <v>×</v>
      </c>
      <c r="D16" s="67"/>
      <c r="E16" s="61"/>
      <c r="F16" s="125">
        <v>1389153</v>
      </c>
      <c r="G16" s="60">
        <f t="shared" si="2"/>
        <v>0</v>
      </c>
      <c r="H16" s="62">
        <f t="shared" si="3"/>
        <v>0</v>
      </c>
    </row>
    <row r="17" spans="1:8" ht="13.5" customHeight="1" outlineLevel="1" x14ac:dyDescent="0.2">
      <c r="A17" s="127"/>
      <c r="B17" s="52" t="s">
        <v>79</v>
      </c>
      <c r="C17" s="130" t="str">
        <f t="shared" si="1"/>
        <v>×</v>
      </c>
      <c r="D17" s="67"/>
      <c r="E17" s="61"/>
      <c r="F17" s="125">
        <v>980269</v>
      </c>
      <c r="G17" s="60">
        <f t="shared" si="2"/>
        <v>0</v>
      </c>
      <c r="H17" s="62">
        <f t="shared" si="3"/>
        <v>0</v>
      </c>
    </row>
    <row r="18" spans="1:8" ht="13.5" customHeight="1" outlineLevel="1" x14ac:dyDescent="0.2">
      <c r="A18" s="127"/>
      <c r="B18" s="52" t="s">
        <v>204</v>
      </c>
      <c r="C18" s="130" t="str">
        <f t="shared" si="1"/>
        <v>×</v>
      </c>
      <c r="D18" s="67"/>
      <c r="E18" s="61"/>
      <c r="F18" s="125">
        <v>1273796</v>
      </c>
      <c r="G18" s="60">
        <f t="shared" si="2"/>
        <v>0</v>
      </c>
      <c r="H18" s="62">
        <f t="shared" si="3"/>
        <v>0</v>
      </c>
    </row>
    <row r="19" spans="1:8" ht="13.5" customHeight="1" outlineLevel="1" x14ac:dyDescent="0.2">
      <c r="A19" s="127"/>
      <c r="B19" s="52" t="s">
        <v>205</v>
      </c>
      <c r="C19" s="130" t="str">
        <f t="shared" si="1"/>
        <v>×</v>
      </c>
      <c r="D19" s="67"/>
      <c r="E19" s="61"/>
      <c r="F19" s="125">
        <v>1631636</v>
      </c>
      <c r="G19" s="60">
        <f t="shared" si="2"/>
        <v>0</v>
      </c>
      <c r="H19" s="62">
        <f t="shared" si="3"/>
        <v>0</v>
      </c>
    </row>
    <row r="20" spans="1:8" ht="13.5" customHeight="1" outlineLevel="1" x14ac:dyDescent="0.2">
      <c r="A20" s="127"/>
      <c r="B20" s="52" t="s">
        <v>346</v>
      </c>
      <c r="C20" s="130" t="str">
        <f t="shared" si="1"/>
        <v>×</v>
      </c>
      <c r="D20" s="67"/>
      <c r="E20" s="61"/>
      <c r="F20" s="125">
        <v>1140244</v>
      </c>
      <c r="G20" s="60">
        <f t="shared" si="2"/>
        <v>0</v>
      </c>
      <c r="H20" s="62">
        <f t="shared" si="3"/>
        <v>0</v>
      </c>
    </row>
    <row r="21" spans="1:8" ht="13.5" customHeight="1" outlineLevel="1" x14ac:dyDescent="0.2">
      <c r="A21" s="127"/>
      <c r="B21" s="52" t="s">
        <v>347</v>
      </c>
      <c r="C21" s="130" t="str">
        <f t="shared" si="1"/>
        <v>×</v>
      </c>
      <c r="D21" s="67"/>
      <c r="E21" s="61"/>
      <c r="F21" s="125">
        <v>1329505</v>
      </c>
      <c r="G21" s="60">
        <f t="shared" si="2"/>
        <v>0</v>
      </c>
      <c r="H21" s="62">
        <f t="shared" si="3"/>
        <v>0</v>
      </c>
    </row>
    <row r="22" spans="1:8" ht="13.5" customHeight="1" outlineLevel="1" x14ac:dyDescent="0.2">
      <c r="A22" s="127"/>
      <c r="B22" s="52" t="s">
        <v>348</v>
      </c>
      <c r="C22" s="130" t="str">
        <f t="shared" si="1"/>
        <v>×</v>
      </c>
      <c r="D22" s="67"/>
      <c r="E22" s="61"/>
      <c r="F22" s="125">
        <v>1702995</v>
      </c>
      <c r="G22" s="60">
        <f t="shared" si="2"/>
        <v>0</v>
      </c>
      <c r="H22" s="62">
        <f t="shared" si="3"/>
        <v>0</v>
      </c>
    </row>
    <row r="23" spans="1:8" ht="13.5" customHeight="1" outlineLevel="1" x14ac:dyDescent="0.2">
      <c r="A23" s="127"/>
      <c r="B23" s="52" t="s">
        <v>349</v>
      </c>
      <c r="C23" s="130" t="str">
        <f t="shared" si="1"/>
        <v>×</v>
      </c>
      <c r="D23" s="67"/>
      <c r="E23" s="61"/>
      <c r="F23" s="125">
        <v>1204392</v>
      </c>
      <c r="G23" s="60">
        <f t="shared" si="2"/>
        <v>0</v>
      </c>
      <c r="H23" s="62">
        <f t="shared" si="3"/>
        <v>0</v>
      </c>
    </row>
    <row r="24" spans="1:8" ht="13.5" customHeight="1" outlineLevel="1" x14ac:dyDescent="0.2">
      <c r="A24" s="127"/>
      <c r="B24" s="52" t="s">
        <v>350</v>
      </c>
      <c r="C24" s="130" t="str">
        <f t="shared" si="1"/>
        <v>×</v>
      </c>
      <c r="D24" s="67"/>
      <c r="E24" s="61"/>
      <c r="F24" s="125">
        <v>1561577</v>
      </c>
      <c r="G24" s="60">
        <f t="shared" si="2"/>
        <v>0</v>
      </c>
      <c r="H24" s="62">
        <f t="shared" si="3"/>
        <v>0</v>
      </c>
    </row>
    <row r="25" spans="1:8" ht="13.5" customHeight="1" outlineLevel="1" x14ac:dyDescent="0.2">
      <c r="A25" s="127"/>
      <c r="B25" s="52" t="s">
        <v>351</v>
      </c>
      <c r="C25" s="130" t="str">
        <f t="shared" si="1"/>
        <v>×</v>
      </c>
      <c r="D25" s="67"/>
      <c r="E25" s="61"/>
      <c r="F25" s="125">
        <v>2000262</v>
      </c>
      <c r="G25" s="60">
        <f t="shared" si="2"/>
        <v>0</v>
      </c>
      <c r="H25" s="62">
        <f t="shared" si="3"/>
        <v>0</v>
      </c>
    </row>
    <row r="26" spans="1:8" ht="13.5" customHeight="1" x14ac:dyDescent="0.2">
      <c r="A26" s="127" t="s">
        <v>241</v>
      </c>
      <c r="B26" s="52" t="s">
        <v>80</v>
      </c>
      <c r="C26" s="52"/>
      <c r="D26" s="60">
        <f>SUM(D27:D38)</f>
        <v>0</v>
      </c>
      <c r="E26" s="62">
        <f>SUM(E27:E38)</f>
        <v>0</v>
      </c>
      <c r="F26" s="52"/>
      <c r="G26" s="62">
        <f t="shared" ref="G26:H26" si="4">SUM(G27:G38)</f>
        <v>0</v>
      </c>
      <c r="H26" s="62">
        <f t="shared" si="4"/>
        <v>0</v>
      </c>
    </row>
    <row r="27" spans="1:8" ht="13.5" customHeight="1" outlineLevel="1" x14ac:dyDescent="0.2">
      <c r="A27" s="127"/>
      <c r="B27" s="52" t="s">
        <v>78</v>
      </c>
      <c r="C27" s="130" t="str">
        <f t="shared" si="1"/>
        <v>×</v>
      </c>
      <c r="D27" s="67"/>
      <c r="E27" s="63"/>
      <c r="F27" s="125">
        <v>977881</v>
      </c>
      <c r="G27" s="60">
        <f>D27</f>
        <v>0</v>
      </c>
      <c r="H27" s="60">
        <f>G27*F27/1000</f>
        <v>0</v>
      </c>
    </row>
    <row r="28" spans="1:8" ht="13.5" customHeight="1" outlineLevel="1" x14ac:dyDescent="0.2">
      <c r="A28" s="127"/>
      <c r="B28" s="52" t="s">
        <v>202</v>
      </c>
      <c r="C28" s="130" t="str">
        <f t="shared" si="1"/>
        <v>×</v>
      </c>
      <c r="D28" s="67"/>
      <c r="E28" s="63"/>
      <c r="F28" s="125">
        <v>1094234</v>
      </c>
      <c r="G28" s="60">
        <f t="shared" ref="G28:G89" si="5">D28</f>
        <v>0</v>
      </c>
      <c r="H28" s="60">
        <f t="shared" ref="H28:H38" si="6">G28*F28/1000</f>
        <v>0</v>
      </c>
    </row>
    <row r="29" spans="1:8" ht="13.5" customHeight="1" outlineLevel="1" x14ac:dyDescent="0.2">
      <c r="A29" s="127"/>
      <c r="B29" s="52" t="s">
        <v>203</v>
      </c>
      <c r="C29" s="130" t="str">
        <f t="shared" si="1"/>
        <v>×</v>
      </c>
      <c r="D29" s="67"/>
      <c r="E29" s="63"/>
      <c r="F29" s="125">
        <v>1524466</v>
      </c>
      <c r="G29" s="60">
        <f t="shared" si="5"/>
        <v>0</v>
      </c>
      <c r="H29" s="60">
        <f t="shared" si="6"/>
        <v>0</v>
      </c>
    </row>
    <row r="30" spans="1:8" ht="13.5" customHeight="1" outlineLevel="1" x14ac:dyDescent="0.2">
      <c r="A30" s="127"/>
      <c r="B30" s="52" t="s">
        <v>79</v>
      </c>
      <c r="C30" s="130" t="str">
        <f t="shared" si="1"/>
        <v>×</v>
      </c>
      <c r="D30" s="67"/>
      <c r="E30" s="63"/>
      <c r="F30" s="125">
        <v>1148574</v>
      </c>
      <c r="G30" s="60">
        <f t="shared" si="5"/>
        <v>0</v>
      </c>
      <c r="H30" s="60">
        <f t="shared" si="6"/>
        <v>0</v>
      </c>
    </row>
    <row r="31" spans="1:8" ht="13.5" customHeight="1" outlineLevel="1" x14ac:dyDescent="0.2">
      <c r="A31" s="127"/>
      <c r="B31" s="52" t="s">
        <v>204</v>
      </c>
      <c r="C31" s="130" t="str">
        <f t="shared" si="1"/>
        <v>×</v>
      </c>
      <c r="D31" s="67"/>
      <c r="E31" s="63"/>
      <c r="F31" s="125">
        <v>1285238</v>
      </c>
      <c r="G31" s="60">
        <f t="shared" si="5"/>
        <v>0</v>
      </c>
      <c r="H31" s="60">
        <f t="shared" si="6"/>
        <v>0</v>
      </c>
    </row>
    <row r="32" spans="1:8" ht="13.5" customHeight="1" outlineLevel="1" x14ac:dyDescent="0.2">
      <c r="A32" s="127"/>
      <c r="B32" s="52" t="s">
        <v>205</v>
      </c>
      <c r="C32" s="130" t="str">
        <f t="shared" si="1"/>
        <v>×</v>
      </c>
      <c r="D32" s="67"/>
      <c r="E32" s="63"/>
      <c r="F32" s="125">
        <v>1790569</v>
      </c>
      <c r="G32" s="60">
        <f t="shared" si="5"/>
        <v>0</v>
      </c>
      <c r="H32" s="60">
        <f t="shared" si="6"/>
        <v>0</v>
      </c>
    </row>
    <row r="33" spans="1:8" ht="13.5" customHeight="1" outlineLevel="1" x14ac:dyDescent="0.2">
      <c r="A33" s="127"/>
      <c r="B33" s="52" t="s">
        <v>346</v>
      </c>
      <c r="C33" s="130" t="str">
        <f t="shared" si="1"/>
        <v>×</v>
      </c>
      <c r="D33" s="67"/>
      <c r="E33" s="63"/>
      <c r="F33" s="125">
        <v>1797904</v>
      </c>
      <c r="G33" s="60">
        <f t="shared" si="5"/>
        <v>0</v>
      </c>
      <c r="H33" s="60">
        <f t="shared" si="6"/>
        <v>0</v>
      </c>
    </row>
    <row r="34" spans="1:8" ht="13.5" customHeight="1" outlineLevel="1" x14ac:dyDescent="0.2">
      <c r="A34" s="127"/>
      <c r="B34" s="52" t="s">
        <v>347</v>
      </c>
      <c r="C34" s="130" t="str">
        <f t="shared" si="1"/>
        <v>×</v>
      </c>
      <c r="D34" s="67"/>
      <c r="E34" s="63"/>
      <c r="F34" s="125">
        <v>1961403</v>
      </c>
      <c r="G34" s="60">
        <f t="shared" si="5"/>
        <v>0</v>
      </c>
      <c r="H34" s="60">
        <f t="shared" si="6"/>
        <v>0</v>
      </c>
    </row>
    <row r="35" spans="1:8" ht="13.5" customHeight="1" outlineLevel="1" x14ac:dyDescent="0.2">
      <c r="A35" s="127"/>
      <c r="B35" s="52" t="s">
        <v>348</v>
      </c>
      <c r="C35" s="130" t="str">
        <f t="shared" si="1"/>
        <v>×</v>
      </c>
      <c r="D35" s="67"/>
      <c r="E35" s="63"/>
      <c r="F35" s="125">
        <v>2057005</v>
      </c>
      <c r="G35" s="60">
        <f t="shared" si="5"/>
        <v>0</v>
      </c>
      <c r="H35" s="60">
        <f t="shared" si="6"/>
        <v>0</v>
      </c>
    </row>
    <row r="36" spans="1:8" ht="13.5" customHeight="1" outlineLevel="1" x14ac:dyDescent="0.2">
      <c r="A36" s="127"/>
      <c r="B36" s="52" t="s">
        <v>349</v>
      </c>
      <c r="C36" s="130" t="str">
        <f t="shared" si="1"/>
        <v>×</v>
      </c>
      <c r="D36" s="67"/>
      <c r="E36" s="63"/>
      <c r="F36" s="125">
        <v>2111737</v>
      </c>
      <c r="G36" s="60">
        <f t="shared" si="5"/>
        <v>0</v>
      </c>
      <c r="H36" s="60">
        <f t="shared" si="6"/>
        <v>0</v>
      </c>
    </row>
    <row r="37" spans="1:8" ht="13.5" customHeight="1" outlineLevel="1" x14ac:dyDescent="0.2">
      <c r="A37" s="127"/>
      <c r="B37" s="52" t="s">
        <v>350</v>
      </c>
      <c r="C37" s="130" t="str">
        <f t="shared" si="1"/>
        <v>×</v>
      </c>
      <c r="D37" s="67"/>
      <c r="E37" s="63"/>
      <c r="F37" s="125">
        <v>2303775</v>
      </c>
      <c r="G37" s="60">
        <f t="shared" si="5"/>
        <v>0</v>
      </c>
      <c r="H37" s="60">
        <f t="shared" si="6"/>
        <v>0</v>
      </c>
    </row>
    <row r="38" spans="1:8" ht="13.5" customHeight="1" outlineLevel="1" x14ac:dyDescent="0.2">
      <c r="A38" s="127"/>
      <c r="B38" s="52" t="s">
        <v>351</v>
      </c>
      <c r="C38" s="130" t="str">
        <f t="shared" si="1"/>
        <v>×</v>
      </c>
      <c r="D38" s="67"/>
      <c r="E38" s="63"/>
      <c r="F38" s="125">
        <v>2416066</v>
      </c>
      <c r="G38" s="60">
        <f t="shared" si="5"/>
        <v>0</v>
      </c>
      <c r="H38" s="60">
        <f t="shared" si="6"/>
        <v>0</v>
      </c>
    </row>
    <row r="39" spans="1:8" ht="13.5" customHeight="1" x14ac:dyDescent="0.2">
      <c r="A39" s="127" t="s">
        <v>21</v>
      </c>
      <c r="B39" s="52" t="s">
        <v>82</v>
      </c>
      <c r="C39" s="52"/>
      <c r="D39" s="60">
        <f>SUM(D40:D55)</f>
        <v>0</v>
      </c>
      <c r="E39" s="60">
        <f>SUM(E40:E55)</f>
        <v>0</v>
      </c>
      <c r="F39" s="64"/>
      <c r="G39" s="60">
        <f>SUM(G40:G55)</f>
        <v>0</v>
      </c>
      <c r="H39" s="60">
        <f>SUM(H40:H55)</f>
        <v>0</v>
      </c>
    </row>
    <row r="40" spans="1:8" ht="13.5" customHeight="1" outlineLevel="1" x14ac:dyDescent="0.2">
      <c r="A40" s="127"/>
      <c r="B40" s="52" t="s">
        <v>83</v>
      </c>
      <c r="C40" s="130" t="str">
        <f t="shared" si="1"/>
        <v>×</v>
      </c>
      <c r="D40" s="67"/>
      <c r="E40" s="63"/>
      <c r="F40" s="125">
        <v>1537608</v>
      </c>
      <c r="G40" s="60">
        <f t="shared" si="5"/>
        <v>0</v>
      </c>
      <c r="H40" s="62">
        <f>G40*F40/1000</f>
        <v>0</v>
      </c>
    </row>
    <row r="41" spans="1:8" ht="13.5" customHeight="1" outlineLevel="1" x14ac:dyDescent="0.2">
      <c r="A41" s="127"/>
      <c r="B41" s="52" t="s">
        <v>206</v>
      </c>
      <c r="C41" s="130" t="str">
        <f t="shared" si="1"/>
        <v>×</v>
      </c>
      <c r="D41" s="67"/>
      <c r="E41" s="63"/>
      <c r="F41" s="125">
        <v>2105568</v>
      </c>
      <c r="G41" s="60">
        <f t="shared" si="5"/>
        <v>0</v>
      </c>
      <c r="H41" s="62">
        <f t="shared" ref="H41:H55" si="7">G41*F41/1000</f>
        <v>0</v>
      </c>
    </row>
    <row r="42" spans="1:8" ht="13.5" customHeight="1" outlineLevel="1" x14ac:dyDescent="0.2">
      <c r="A42" s="127"/>
      <c r="B42" s="52" t="s">
        <v>207</v>
      </c>
      <c r="C42" s="130" t="str">
        <f t="shared" si="1"/>
        <v>×</v>
      </c>
      <c r="D42" s="67"/>
      <c r="E42" s="63"/>
      <c r="F42" s="125">
        <v>2299864</v>
      </c>
      <c r="G42" s="60">
        <f t="shared" si="5"/>
        <v>0</v>
      </c>
      <c r="H42" s="62">
        <f t="shared" si="7"/>
        <v>0</v>
      </c>
    </row>
    <row r="43" spans="1:8" ht="13.5" customHeight="1" outlineLevel="1" x14ac:dyDescent="0.2">
      <c r="A43" s="127"/>
      <c r="B43" s="52" t="s">
        <v>208</v>
      </c>
      <c r="C43" s="130" t="str">
        <f t="shared" si="1"/>
        <v>×</v>
      </c>
      <c r="D43" s="67"/>
      <c r="E43" s="63"/>
      <c r="F43" s="125">
        <v>3465551</v>
      </c>
      <c r="G43" s="60">
        <f t="shared" si="5"/>
        <v>0</v>
      </c>
      <c r="H43" s="62">
        <f t="shared" si="7"/>
        <v>0</v>
      </c>
    </row>
    <row r="44" spans="1:8" ht="13.5" customHeight="1" outlineLevel="1" x14ac:dyDescent="0.2">
      <c r="A44" s="127"/>
      <c r="B44" s="52" t="s">
        <v>84</v>
      </c>
      <c r="C44" s="130" t="str">
        <f t="shared" si="1"/>
        <v>×</v>
      </c>
      <c r="D44" s="67"/>
      <c r="E44" s="63"/>
      <c r="F44" s="125">
        <v>1942382</v>
      </c>
      <c r="G44" s="60">
        <f t="shared" si="5"/>
        <v>0</v>
      </c>
      <c r="H44" s="62">
        <f t="shared" si="7"/>
        <v>0</v>
      </c>
    </row>
    <row r="45" spans="1:8" ht="13.5" customHeight="1" outlineLevel="1" x14ac:dyDescent="0.2">
      <c r="A45" s="127"/>
      <c r="B45" s="52" t="s">
        <v>209</v>
      </c>
      <c r="C45" s="130" t="str">
        <f t="shared" si="1"/>
        <v>×</v>
      </c>
      <c r="D45" s="67"/>
      <c r="E45" s="63"/>
      <c r="F45" s="125">
        <v>2846122</v>
      </c>
      <c r="G45" s="60">
        <f t="shared" si="5"/>
        <v>0</v>
      </c>
      <c r="H45" s="62">
        <f t="shared" si="7"/>
        <v>0</v>
      </c>
    </row>
    <row r="46" spans="1:8" ht="13.5" customHeight="1" outlineLevel="1" x14ac:dyDescent="0.2">
      <c r="A46" s="127"/>
      <c r="B46" s="52" t="s">
        <v>210</v>
      </c>
      <c r="C46" s="130" t="str">
        <f t="shared" si="1"/>
        <v>×</v>
      </c>
      <c r="D46" s="67"/>
      <c r="E46" s="63"/>
      <c r="F46" s="125">
        <v>3108754</v>
      </c>
      <c r="G46" s="60">
        <f t="shared" si="5"/>
        <v>0</v>
      </c>
      <c r="H46" s="62">
        <f t="shared" si="7"/>
        <v>0</v>
      </c>
    </row>
    <row r="47" spans="1:8" ht="13.5" customHeight="1" outlineLevel="1" x14ac:dyDescent="0.2">
      <c r="A47" s="127"/>
      <c r="B47" s="52" t="s">
        <v>211</v>
      </c>
      <c r="C47" s="130" t="str">
        <f t="shared" si="1"/>
        <v>×</v>
      </c>
      <c r="D47" s="67"/>
      <c r="E47" s="63"/>
      <c r="F47" s="125">
        <v>4253422</v>
      </c>
      <c r="G47" s="60">
        <f t="shared" si="5"/>
        <v>0</v>
      </c>
      <c r="H47" s="62">
        <f t="shared" si="7"/>
        <v>0</v>
      </c>
    </row>
    <row r="48" spans="1:8" ht="13.5" customHeight="1" outlineLevel="1" x14ac:dyDescent="0.2">
      <c r="A48" s="127"/>
      <c r="B48" s="52" t="s">
        <v>352</v>
      </c>
      <c r="C48" s="130" t="str">
        <f t="shared" si="1"/>
        <v>×</v>
      </c>
      <c r="D48" s="67"/>
      <c r="E48" s="63"/>
      <c r="F48" s="125">
        <v>2611563</v>
      </c>
      <c r="G48" s="60">
        <f t="shared" si="5"/>
        <v>0</v>
      </c>
      <c r="H48" s="62">
        <f t="shared" si="7"/>
        <v>0</v>
      </c>
    </row>
    <row r="49" spans="1:8" ht="13.5" customHeight="1" outlineLevel="1" x14ac:dyDescent="0.2">
      <c r="A49" s="127"/>
      <c r="B49" s="52" t="s">
        <v>353</v>
      </c>
      <c r="C49" s="130" t="str">
        <f t="shared" si="1"/>
        <v>×</v>
      </c>
      <c r="D49" s="67"/>
      <c r="E49" s="63"/>
      <c r="F49" s="125">
        <v>2932623</v>
      </c>
      <c r="G49" s="60">
        <f t="shared" si="5"/>
        <v>0</v>
      </c>
      <c r="H49" s="62">
        <f t="shared" si="7"/>
        <v>0</v>
      </c>
    </row>
    <row r="50" spans="1:8" ht="13.5" customHeight="1" outlineLevel="1" x14ac:dyDescent="0.2">
      <c r="A50" s="127"/>
      <c r="B50" s="52" t="s">
        <v>354</v>
      </c>
      <c r="C50" s="130" t="str">
        <f t="shared" si="1"/>
        <v>×</v>
      </c>
      <c r="D50" s="67"/>
      <c r="E50" s="63"/>
      <c r="F50" s="125">
        <v>2971606</v>
      </c>
      <c r="G50" s="60">
        <f t="shared" si="5"/>
        <v>0</v>
      </c>
      <c r="H50" s="62">
        <f t="shared" si="7"/>
        <v>0</v>
      </c>
    </row>
    <row r="51" spans="1:8" ht="13.5" customHeight="1" outlineLevel="1" x14ac:dyDescent="0.2">
      <c r="A51" s="127"/>
      <c r="B51" s="52" t="s">
        <v>355</v>
      </c>
      <c r="C51" s="130" t="str">
        <f t="shared" si="1"/>
        <v>×</v>
      </c>
      <c r="D51" s="67"/>
      <c r="E51" s="63"/>
      <c r="F51" s="125">
        <v>4249617</v>
      </c>
      <c r="G51" s="60">
        <f t="shared" si="5"/>
        <v>0</v>
      </c>
      <c r="H51" s="62">
        <f t="shared" si="7"/>
        <v>0</v>
      </c>
    </row>
    <row r="52" spans="1:8" ht="13.5" customHeight="1" outlineLevel="1" x14ac:dyDescent="0.2">
      <c r="A52" s="127"/>
      <c r="B52" s="52" t="s">
        <v>356</v>
      </c>
      <c r="C52" s="130" t="str">
        <f t="shared" si="1"/>
        <v>×</v>
      </c>
      <c r="D52" s="67"/>
      <c r="E52" s="63"/>
      <c r="F52" s="125">
        <v>3167917</v>
      </c>
      <c r="G52" s="60">
        <f t="shared" si="5"/>
        <v>0</v>
      </c>
      <c r="H52" s="62">
        <f t="shared" si="7"/>
        <v>0</v>
      </c>
    </row>
    <row r="53" spans="1:8" ht="13.5" customHeight="1" outlineLevel="1" x14ac:dyDescent="0.2">
      <c r="A53" s="127"/>
      <c r="B53" s="52" t="s">
        <v>357</v>
      </c>
      <c r="C53" s="130" t="str">
        <f t="shared" si="1"/>
        <v>×</v>
      </c>
      <c r="D53" s="67"/>
      <c r="E53" s="63"/>
      <c r="F53" s="125">
        <v>3611162</v>
      </c>
      <c r="G53" s="60">
        <f t="shared" si="5"/>
        <v>0</v>
      </c>
      <c r="H53" s="62">
        <f t="shared" si="7"/>
        <v>0</v>
      </c>
    </row>
    <row r="54" spans="1:8" ht="13.5" customHeight="1" outlineLevel="1" x14ac:dyDescent="0.2">
      <c r="A54" s="127"/>
      <c r="B54" s="52" t="s">
        <v>358</v>
      </c>
      <c r="C54" s="130" t="str">
        <f t="shared" si="1"/>
        <v>×</v>
      </c>
      <c r="D54" s="67"/>
      <c r="E54" s="63"/>
      <c r="F54" s="125">
        <v>5135505</v>
      </c>
      <c r="G54" s="60">
        <f t="shared" si="5"/>
        <v>0</v>
      </c>
      <c r="H54" s="62">
        <f t="shared" si="7"/>
        <v>0</v>
      </c>
    </row>
    <row r="55" spans="1:8" ht="13.5" customHeight="1" outlineLevel="1" x14ac:dyDescent="0.2">
      <c r="A55" s="127"/>
      <c r="B55" s="52" t="s">
        <v>359</v>
      </c>
      <c r="C55" s="130" t="str">
        <f t="shared" si="1"/>
        <v>×</v>
      </c>
      <c r="D55" s="67"/>
      <c r="E55" s="63"/>
      <c r="F55" s="125">
        <v>5396745</v>
      </c>
      <c r="G55" s="60">
        <f t="shared" si="5"/>
        <v>0</v>
      </c>
      <c r="H55" s="62">
        <f t="shared" si="7"/>
        <v>0</v>
      </c>
    </row>
    <row r="56" spans="1:8" ht="13.5" customHeight="1" x14ac:dyDescent="0.2">
      <c r="A56" s="127" t="s">
        <v>270</v>
      </c>
      <c r="B56" s="52" t="s">
        <v>86</v>
      </c>
      <c r="C56" s="52"/>
      <c r="D56" s="60">
        <f>SUM(D57:D61)</f>
        <v>0</v>
      </c>
      <c r="E56" s="60">
        <f t="shared" ref="E56:H56" si="8">SUM(E57:E61)</f>
        <v>0</v>
      </c>
      <c r="F56" s="65"/>
      <c r="G56" s="60">
        <f t="shared" si="8"/>
        <v>0</v>
      </c>
      <c r="H56" s="60">
        <f t="shared" si="8"/>
        <v>0</v>
      </c>
    </row>
    <row r="57" spans="1:8" ht="14.25" customHeight="1" outlineLevel="1" x14ac:dyDescent="0.2">
      <c r="A57" s="127"/>
      <c r="B57" s="52" t="s">
        <v>87</v>
      </c>
      <c r="C57" s="130" t="str">
        <f t="shared" si="1"/>
        <v>×</v>
      </c>
      <c r="D57" s="67"/>
      <c r="E57" s="63"/>
      <c r="F57" s="125">
        <v>150074</v>
      </c>
      <c r="G57" s="60">
        <f t="shared" si="5"/>
        <v>0</v>
      </c>
      <c r="H57" s="62">
        <f>G57*F57/1000</f>
        <v>0</v>
      </c>
    </row>
    <row r="58" spans="1:8" ht="24.75" customHeight="1" outlineLevel="1" x14ac:dyDescent="0.2">
      <c r="A58" s="127"/>
      <c r="B58" s="52" t="s">
        <v>212</v>
      </c>
      <c r="C58" s="130" t="str">
        <f t="shared" si="1"/>
        <v>×</v>
      </c>
      <c r="D58" s="67"/>
      <c r="E58" s="63"/>
      <c r="F58" s="125">
        <v>784330</v>
      </c>
      <c r="G58" s="60">
        <f t="shared" si="5"/>
        <v>0</v>
      </c>
      <c r="H58" s="62">
        <f t="shared" ref="H58:H61" si="9">G58*F58/1000</f>
        <v>0</v>
      </c>
    </row>
    <row r="59" spans="1:8" ht="24" customHeight="1" outlineLevel="1" x14ac:dyDescent="0.2">
      <c r="A59" s="127"/>
      <c r="B59" s="52" t="s">
        <v>365</v>
      </c>
      <c r="C59" s="130" t="str">
        <f t="shared" si="1"/>
        <v>×</v>
      </c>
      <c r="D59" s="67"/>
      <c r="E59" s="63"/>
      <c r="F59" s="125">
        <v>1575755</v>
      </c>
      <c r="G59" s="60">
        <f t="shared" si="5"/>
        <v>0</v>
      </c>
      <c r="H59" s="62">
        <f t="shared" si="9"/>
        <v>0</v>
      </c>
    </row>
    <row r="60" spans="1:8" ht="24" customHeight="1" outlineLevel="1" x14ac:dyDescent="0.2">
      <c r="A60" s="127"/>
      <c r="B60" s="52" t="s">
        <v>260</v>
      </c>
      <c r="C60" s="130" t="str">
        <f t="shared" si="1"/>
        <v>×</v>
      </c>
      <c r="D60" s="67"/>
      <c r="E60" s="63"/>
      <c r="F60" s="125">
        <v>113932</v>
      </c>
      <c r="G60" s="60">
        <f t="shared" ref="G60" si="10">D60</f>
        <v>0</v>
      </c>
      <c r="H60" s="62">
        <f t="shared" ref="H60" si="11">G60*F60/1000</f>
        <v>0</v>
      </c>
    </row>
    <row r="61" spans="1:8" ht="13.5" customHeight="1" outlineLevel="1" x14ac:dyDescent="0.2">
      <c r="A61" s="127"/>
      <c r="B61" s="52" t="s">
        <v>88</v>
      </c>
      <c r="C61" s="130" t="str">
        <f t="shared" si="1"/>
        <v>×</v>
      </c>
      <c r="D61" s="67"/>
      <c r="E61" s="63"/>
      <c r="F61" s="125">
        <v>1544579</v>
      </c>
      <c r="G61" s="60">
        <f t="shared" si="5"/>
        <v>0</v>
      </c>
      <c r="H61" s="62">
        <f t="shared" si="9"/>
        <v>0</v>
      </c>
    </row>
    <row r="62" spans="1:8" ht="13.5" customHeight="1" outlineLevel="1" x14ac:dyDescent="0.2">
      <c r="A62" s="127"/>
      <c r="B62" s="52" t="s">
        <v>213</v>
      </c>
      <c r="C62" s="130" t="str">
        <f t="shared" si="1"/>
        <v>×</v>
      </c>
      <c r="D62" s="67"/>
      <c r="E62" s="63"/>
      <c r="F62" s="125">
        <v>81815</v>
      </c>
      <c r="G62" s="60">
        <f t="shared" ref="G62" si="12">D62</f>
        <v>0</v>
      </c>
      <c r="H62" s="62">
        <f t="shared" ref="H62" si="13">G62*F62/1000</f>
        <v>0</v>
      </c>
    </row>
    <row r="63" spans="1:8" ht="35.25" customHeight="1" x14ac:dyDescent="0.2">
      <c r="A63" s="127" t="s">
        <v>271</v>
      </c>
      <c r="B63" s="52" t="s">
        <v>90</v>
      </c>
      <c r="C63" s="52"/>
      <c r="D63" s="62">
        <f>SUM(D64,D71,D78,D97)</f>
        <v>0</v>
      </c>
      <c r="E63" s="62">
        <f>SUM(E64,E71,E78,E97)</f>
        <v>0</v>
      </c>
      <c r="F63" s="66"/>
      <c r="G63" s="62">
        <f t="shared" ref="G63:H63" si="14">SUM(G64,G71,G78,G97)</f>
        <v>0</v>
      </c>
      <c r="H63" s="62">
        <f t="shared" si="14"/>
        <v>0</v>
      </c>
    </row>
    <row r="64" spans="1:8" ht="13.5" customHeight="1" x14ac:dyDescent="0.2">
      <c r="A64" s="127" t="s">
        <v>272</v>
      </c>
      <c r="B64" s="52" t="s">
        <v>91</v>
      </c>
      <c r="C64" s="52"/>
      <c r="D64" s="62">
        <f>SUM(D65:D70)</f>
        <v>0</v>
      </c>
      <c r="E64" s="62">
        <f>SUM(E65:E70)</f>
        <v>0</v>
      </c>
      <c r="F64" s="58"/>
      <c r="G64" s="60">
        <f>SUM(G65:G70)</f>
        <v>0</v>
      </c>
      <c r="H64" s="60">
        <f>SUM(H65:H70)</f>
        <v>0</v>
      </c>
    </row>
    <row r="65" spans="1:8" ht="13.5" customHeight="1" outlineLevel="1" x14ac:dyDescent="0.2">
      <c r="A65" s="127"/>
      <c r="B65" s="52" t="s">
        <v>92</v>
      </c>
      <c r="C65" s="130" t="str">
        <f t="shared" ref="C65:C112" si="15">IFERROR(E65*1000/D65,"×")</f>
        <v>×</v>
      </c>
      <c r="D65" s="124"/>
      <c r="E65" s="63"/>
      <c r="F65" s="125">
        <v>4710</v>
      </c>
      <c r="G65" s="60">
        <f t="shared" si="5"/>
        <v>0</v>
      </c>
      <c r="H65" s="62">
        <f>G65*F65/1000</f>
        <v>0</v>
      </c>
    </row>
    <row r="66" spans="1:8" ht="13.5" customHeight="1" outlineLevel="1" x14ac:dyDescent="0.2">
      <c r="A66" s="127"/>
      <c r="B66" s="52" t="s">
        <v>93</v>
      </c>
      <c r="C66" s="130" t="str">
        <f t="shared" si="15"/>
        <v>×</v>
      </c>
      <c r="D66" s="124"/>
      <c r="E66" s="63"/>
      <c r="F66" s="125">
        <v>3415</v>
      </c>
      <c r="G66" s="60">
        <f t="shared" si="5"/>
        <v>0</v>
      </c>
      <c r="H66" s="62">
        <f t="shared" ref="H66:H70" si="16">G66*F66/1000</f>
        <v>0</v>
      </c>
    </row>
    <row r="67" spans="1:8" ht="13.5" customHeight="1" outlineLevel="1" x14ac:dyDescent="0.2">
      <c r="A67" s="127"/>
      <c r="B67" s="52" t="s">
        <v>94</v>
      </c>
      <c r="C67" s="130" t="str">
        <f t="shared" si="15"/>
        <v>×</v>
      </c>
      <c r="D67" s="124"/>
      <c r="E67" s="63"/>
      <c r="F67" s="125">
        <v>3210</v>
      </c>
      <c r="G67" s="60">
        <f t="shared" si="5"/>
        <v>0</v>
      </c>
      <c r="H67" s="62">
        <f t="shared" si="16"/>
        <v>0</v>
      </c>
    </row>
    <row r="68" spans="1:8" ht="13.5" customHeight="1" outlineLevel="1" x14ac:dyDescent="0.2">
      <c r="A68" s="127"/>
      <c r="B68" s="52" t="s">
        <v>95</v>
      </c>
      <c r="C68" s="130" t="str">
        <f t="shared" si="15"/>
        <v>×</v>
      </c>
      <c r="D68" s="124"/>
      <c r="E68" s="63"/>
      <c r="F68" s="125">
        <v>2554</v>
      </c>
      <c r="G68" s="60">
        <f t="shared" si="5"/>
        <v>0</v>
      </c>
      <c r="H68" s="62">
        <f t="shared" si="16"/>
        <v>0</v>
      </c>
    </row>
    <row r="69" spans="1:8" ht="13.5" customHeight="1" outlineLevel="1" x14ac:dyDescent="0.2">
      <c r="A69" s="127"/>
      <c r="B69" s="52" t="s">
        <v>96</v>
      </c>
      <c r="C69" s="130" t="str">
        <f t="shared" si="15"/>
        <v>×</v>
      </c>
      <c r="D69" s="124"/>
      <c r="E69" s="63"/>
      <c r="F69" s="125">
        <v>1596</v>
      </c>
      <c r="G69" s="60">
        <f t="shared" si="5"/>
        <v>0</v>
      </c>
      <c r="H69" s="62">
        <f t="shared" si="16"/>
        <v>0</v>
      </c>
    </row>
    <row r="70" spans="1:8" ht="13.5" customHeight="1" outlineLevel="1" x14ac:dyDescent="0.2">
      <c r="A70" s="127"/>
      <c r="B70" s="52" t="s">
        <v>97</v>
      </c>
      <c r="C70" s="130" t="str">
        <f t="shared" si="15"/>
        <v>×</v>
      </c>
      <c r="D70" s="124"/>
      <c r="E70" s="63"/>
      <c r="F70" s="125">
        <v>1273</v>
      </c>
      <c r="G70" s="60">
        <f t="shared" si="5"/>
        <v>0</v>
      </c>
      <c r="H70" s="62">
        <f t="shared" si="16"/>
        <v>0</v>
      </c>
    </row>
    <row r="71" spans="1:8" ht="13.5" customHeight="1" x14ac:dyDescent="0.2">
      <c r="A71" s="127" t="s">
        <v>273</v>
      </c>
      <c r="B71" s="52" t="s">
        <v>98</v>
      </c>
      <c r="C71" s="52"/>
      <c r="D71" s="62">
        <f>SUM(D72:D77)</f>
        <v>0</v>
      </c>
      <c r="E71" s="62">
        <f>SUM(E72:E77)</f>
        <v>0</v>
      </c>
      <c r="F71" s="58"/>
      <c r="G71" s="60">
        <f>SUM(G72:G77)</f>
        <v>0</v>
      </c>
      <c r="H71" s="62">
        <f>SUM(H72:H77)</f>
        <v>0</v>
      </c>
    </row>
    <row r="72" spans="1:8" ht="13.5" customHeight="1" outlineLevel="1" x14ac:dyDescent="0.2">
      <c r="A72" s="127"/>
      <c r="B72" s="52" t="s">
        <v>92</v>
      </c>
      <c r="C72" s="130" t="str">
        <f t="shared" si="15"/>
        <v>×</v>
      </c>
      <c r="D72" s="124"/>
      <c r="E72" s="63"/>
      <c r="F72" s="125">
        <v>5617</v>
      </c>
      <c r="G72" s="60">
        <f t="shared" si="5"/>
        <v>0</v>
      </c>
      <c r="H72" s="62">
        <f>G72*F72/1000</f>
        <v>0</v>
      </c>
    </row>
    <row r="73" spans="1:8" ht="13.5" customHeight="1" outlineLevel="1" x14ac:dyDescent="0.2">
      <c r="A73" s="127"/>
      <c r="B73" s="52" t="s">
        <v>93</v>
      </c>
      <c r="C73" s="130" t="str">
        <f t="shared" si="15"/>
        <v>×</v>
      </c>
      <c r="D73" s="124"/>
      <c r="E73" s="63"/>
      <c r="F73" s="125">
        <v>4073</v>
      </c>
      <c r="G73" s="60">
        <f t="shared" si="5"/>
        <v>0</v>
      </c>
      <c r="H73" s="62">
        <f t="shared" ref="H73:H77" si="17">G73*F73/1000</f>
        <v>0</v>
      </c>
    </row>
    <row r="74" spans="1:8" ht="13.5" customHeight="1" outlineLevel="1" x14ac:dyDescent="0.2">
      <c r="A74" s="127"/>
      <c r="B74" s="52" t="s">
        <v>94</v>
      </c>
      <c r="C74" s="130" t="str">
        <f t="shared" si="15"/>
        <v>×</v>
      </c>
      <c r="D74" s="124"/>
      <c r="E74" s="63"/>
      <c r="F74" s="125">
        <v>3827</v>
      </c>
      <c r="G74" s="60">
        <f t="shared" si="5"/>
        <v>0</v>
      </c>
      <c r="H74" s="62">
        <f t="shared" si="17"/>
        <v>0</v>
      </c>
    </row>
    <row r="75" spans="1:8" ht="13.5" customHeight="1" outlineLevel="1" x14ac:dyDescent="0.2">
      <c r="A75" s="127"/>
      <c r="B75" s="52" t="s">
        <v>95</v>
      </c>
      <c r="C75" s="130" t="str">
        <f t="shared" si="15"/>
        <v>×</v>
      </c>
      <c r="D75" s="124"/>
      <c r="E75" s="63"/>
      <c r="F75" s="125">
        <v>3339</v>
      </c>
      <c r="G75" s="60">
        <f t="shared" si="5"/>
        <v>0</v>
      </c>
      <c r="H75" s="62">
        <f t="shared" si="17"/>
        <v>0</v>
      </c>
    </row>
    <row r="76" spans="1:8" ht="13.5" customHeight="1" outlineLevel="1" x14ac:dyDescent="0.2">
      <c r="A76" s="127"/>
      <c r="B76" s="52" t="s">
        <v>96</v>
      </c>
      <c r="C76" s="130" t="str">
        <f t="shared" si="15"/>
        <v>×</v>
      </c>
      <c r="D76" s="124"/>
      <c r="E76" s="63"/>
      <c r="F76" s="125">
        <v>2087</v>
      </c>
      <c r="G76" s="60">
        <f t="shared" si="5"/>
        <v>0</v>
      </c>
      <c r="H76" s="62">
        <f t="shared" si="17"/>
        <v>0</v>
      </c>
    </row>
    <row r="77" spans="1:8" ht="13.5" customHeight="1" outlineLevel="1" x14ac:dyDescent="0.2">
      <c r="A77" s="127"/>
      <c r="B77" s="52" t="s">
        <v>97</v>
      </c>
      <c r="C77" s="130" t="str">
        <f t="shared" si="15"/>
        <v>×</v>
      </c>
      <c r="D77" s="124"/>
      <c r="E77" s="63"/>
      <c r="F77" s="125">
        <v>1538</v>
      </c>
      <c r="G77" s="60">
        <f t="shared" si="5"/>
        <v>0</v>
      </c>
      <c r="H77" s="62">
        <f t="shared" si="17"/>
        <v>0</v>
      </c>
    </row>
    <row r="78" spans="1:8" ht="13.5" customHeight="1" x14ac:dyDescent="0.2">
      <c r="A78" s="127" t="s">
        <v>274</v>
      </c>
      <c r="B78" s="52" t="s">
        <v>99</v>
      </c>
      <c r="C78" s="52"/>
      <c r="D78" s="62">
        <f>SUM(D79:D96)</f>
        <v>0</v>
      </c>
      <c r="E78" s="62">
        <f>SUM(E79:E96)</f>
        <v>0</v>
      </c>
      <c r="F78" s="58"/>
      <c r="G78" s="60">
        <f>SUM(G79:G96)</f>
        <v>0</v>
      </c>
      <c r="H78" s="60">
        <f>SUM(H79:H96)</f>
        <v>0</v>
      </c>
    </row>
    <row r="79" spans="1:8" ht="13.5" customHeight="1" outlineLevel="1" x14ac:dyDescent="0.2">
      <c r="A79" s="127"/>
      <c r="B79" s="52" t="s">
        <v>92</v>
      </c>
      <c r="C79" s="130" t="str">
        <f t="shared" si="15"/>
        <v>×</v>
      </c>
      <c r="D79" s="124"/>
      <c r="E79" s="63"/>
      <c r="F79" s="125">
        <v>11773</v>
      </c>
      <c r="G79" s="60">
        <f t="shared" si="5"/>
        <v>0</v>
      </c>
      <c r="H79" s="62">
        <f>G79*F79/1000</f>
        <v>0</v>
      </c>
    </row>
    <row r="80" spans="1:8" ht="13.5" customHeight="1" outlineLevel="1" x14ac:dyDescent="0.2">
      <c r="A80" s="127"/>
      <c r="B80" s="52" t="s">
        <v>93</v>
      </c>
      <c r="C80" s="130" t="str">
        <f t="shared" si="15"/>
        <v>×</v>
      </c>
      <c r="D80" s="124"/>
      <c r="E80" s="63"/>
      <c r="F80" s="125">
        <v>8074</v>
      </c>
      <c r="G80" s="60">
        <f t="shared" si="5"/>
        <v>0</v>
      </c>
      <c r="H80" s="62">
        <f t="shared" ref="H80:H96" si="18">G80*F80/1000</f>
        <v>0</v>
      </c>
    </row>
    <row r="81" spans="1:8" ht="13.5" customHeight="1" outlineLevel="1" x14ac:dyDescent="0.2">
      <c r="A81" s="127"/>
      <c r="B81" s="52" t="s">
        <v>94</v>
      </c>
      <c r="C81" s="130" t="str">
        <f t="shared" si="15"/>
        <v>×</v>
      </c>
      <c r="D81" s="124"/>
      <c r="E81" s="63"/>
      <c r="F81" s="125">
        <v>7452</v>
      </c>
      <c r="G81" s="60">
        <f t="shared" si="5"/>
        <v>0</v>
      </c>
      <c r="H81" s="62">
        <f t="shared" si="18"/>
        <v>0</v>
      </c>
    </row>
    <row r="82" spans="1:8" ht="13.5" customHeight="1" outlineLevel="1" x14ac:dyDescent="0.2">
      <c r="A82" s="127"/>
      <c r="B82" s="52" t="s">
        <v>95</v>
      </c>
      <c r="C82" s="130" t="str">
        <f t="shared" si="15"/>
        <v>×</v>
      </c>
      <c r="D82" s="124"/>
      <c r="E82" s="63"/>
      <c r="F82" s="125">
        <v>5478</v>
      </c>
      <c r="G82" s="60">
        <f t="shared" si="5"/>
        <v>0</v>
      </c>
      <c r="H82" s="62">
        <f t="shared" si="18"/>
        <v>0</v>
      </c>
    </row>
    <row r="83" spans="1:8" ht="13.5" customHeight="1" outlineLevel="1" x14ac:dyDescent="0.2">
      <c r="A83" s="127"/>
      <c r="B83" s="52" t="s">
        <v>96</v>
      </c>
      <c r="C83" s="130" t="str">
        <f t="shared" si="15"/>
        <v>×</v>
      </c>
      <c r="D83" s="124"/>
      <c r="E83" s="63"/>
      <c r="F83" s="125">
        <v>3165</v>
      </c>
      <c r="G83" s="60">
        <f t="shared" si="5"/>
        <v>0</v>
      </c>
      <c r="H83" s="62">
        <f t="shared" si="18"/>
        <v>0</v>
      </c>
    </row>
    <row r="84" spans="1:8" ht="13.5" customHeight="1" outlineLevel="1" x14ac:dyDescent="0.2">
      <c r="A84" s="127"/>
      <c r="B84" s="52" t="s">
        <v>97</v>
      </c>
      <c r="C84" s="130" t="str">
        <f t="shared" si="15"/>
        <v>×</v>
      </c>
      <c r="D84" s="124"/>
      <c r="E84" s="63"/>
      <c r="F84" s="125">
        <v>2524</v>
      </c>
      <c r="G84" s="60">
        <f t="shared" si="5"/>
        <v>0</v>
      </c>
      <c r="H84" s="62">
        <f t="shared" si="18"/>
        <v>0</v>
      </c>
    </row>
    <row r="85" spans="1:8" ht="13.5" customHeight="1" outlineLevel="1" x14ac:dyDescent="0.2">
      <c r="A85" s="127"/>
      <c r="B85" s="52" t="s">
        <v>100</v>
      </c>
      <c r="C85" s="130" t="str">
        <f t="shared" si="15"/>
        <v>×</v>
      </c>
      <c r="D85" s="124"/>
      <c r="E85" s="63"/>
      <c r="F85" s="125">
        <v>1712</v>
      </c>
      <c r="G85" s="60">
        <f t="shared" si="5"/>
        <v>0</v>
      </c>
      <c r="H85" s="62">
        <f t="shared" si="18"/>
        <v>0</v>
      </c>
    </row>
    <row r="86" spans="1:8" ht="13.5" customHeight="1" outlineLevel="1" x14ac:dyDescent="0.2">
      <c r="A86" s="127"/>
      <c r="B86" s="52" t="s">
        <v>101</v>
      </c>
      <c r="C86" s="130" t="str">
        <f t="shared" si="15"/>
        <v>×</v>
      </c>
      <c r="D86" s="124"/>
      <c r="E86" s="63"/>
      <c r="F86" s="125">
        <v>1333</v>
      </c>
      <c r="G86" s="60">
        <f t="shared" si="5"/>
        <v>0</v>
      </c>
      <c r="H86" s="62">
        <f t="shared" si="18"/>
        <v>0</v>
      </c>
    </row>
    <row r="87" spans="1:8" ht="13.5" customHeight="1" outlineLevel="1" x14ac:dyDescent="0.2">
      <c r="A87" s="127"/>
      <c r="B87" s="52" t="s">
        <v>218</v>
      </c>
      <c r="C87" s="130" t="str">
        <f t="shared" si="15"/>
        <v>×</v>
      </c>
      <c r="D87" s="124"/>
      <c r="E87" s="63"/>
      <c r="F87" s="125">
        <v>1135</v>
      </c>
      <c r="G87" s="60">
        <f t="shared" si="5"/>
        <v>0</v>
      </c>
      <c r="H87" s="62">
        <f t="shared" si="18"/>
        <v>0</v>
      </c>
    </row>
    <row r="88" spans="1:8" ht="13.5" customHeight="1" outlineLevel="1" x14ac:dyDescent="0.2">
      <c r="A88" s="127"/>
      <c r="B88" s="52" t="s">
        <v>102</v>
      </c>
      <c r="C88" s="130" t="str">
        <f t="shared" si="15"/>
        <v>×</v>
      </c>
      <c r="D88" s="124"/>
      <c r="E88" s="63"/>
      <c r="F88" s="125">
        <v>21319</v>
      </c>
      <c r="G88" s="60">
        <f t="shared" si="5"/>
        <v>0</v>
      </c>
      <c r="H88" s="62">
        <f t="shared" si="18"/>
        <v>0</v>
      </c>
    </row>
    <row r="89" spans="1:8" ht="13.5" customHeight="1" outlineLevel="1" x14ac:dyDescent="0.2">
      <c r="A89" s="127"/>
      <c r="B89" s="52" t="s">
        <v>103</v>
      </c>
      <c r="C89" s="130" t="str">
        <f t="shared" si="15"/>
        <v>×</v>
      </c>
      <c r="D89" s="124"/>
      <c r="E89" s="63"/>
      <c r="F89" s="125">
        <v>14620</v>
      </c>
      <c r="G89" s="60">
        <f t="shared" si="5"/>
        <v>0</v>
      </c>
      <c r="H89" s="62">
        <f t="shared" si="18"/>
        <v>0</v>
      </c>
    </row>
    <row r="90" spans="1:8" ht="13.5" customHeight="1" outlineLevel="1" x14ac:dyDescent="0.2">
      <c r="A90" s="127"/>
      <c r="B90" s="52" t="s">
        <v>104</v>
      </c>
      <c r="C90" s="130" t="str">
        <f t="shared" si="15"/>
        <v>×</v>
      </c>
      <c r="D90" s="124"/>
      <c r="E90" s="63"/>
      <c r="F90" s="125">
        <v>13494</v>
      </c>
      <c r="G90" s="60">
        <f t="shared" ref="G90:G107" si="19">D90</f>
        <v>0</v>
      </c>
      <c r="H90" s="62">
        <f t="shared" si="18"/>
        <v>0</v>
      </c>
    </row>
    <row r="91" spans="1:8" ht="13.5" customHeight="1" outlineLevel="1" x14ac:dyDescent="0.2">
      <c r="A91" s="127"/>
      <c r="B91" s="52" t="s">
        <v>105</v>
      </c>
      <c r="C91" s="130" t="str">
        <f t="shared" si="15"/>
        <v>×</v>
      </c>
      <c r="D91" s="124"/>
      <c r="E91" s="63"/>
      <c r="F91" s="125">
        <v>9920</v>
      </c>
      <c r="G91" s="60">
        <f t="shared" si="19"/>
        <v>0</v>
      </c>
      <c r="H91" s="62">
        <f t="shared" si="18"/>
        <v>0</v>
      </c>
    </row>
    <row r="92" spans="1:8" ht="13.5" customHeight="1" outlineLevel="1" x14ac:dyDescent="0.2">
      <c r="A92" s="127"/>
      <c r="B92" s="52" t="s">
        <v>106</v>
      </c>
      <c r="C92" s="130" t="str">
        <f t="shared" si="15"/>
        <v>×</v>
      </c>
      <c r="D92" s="124"/>
      <c r="E92" s="63"/>
      <c r="F92" s="125">
        <v>6991</v>
      </c>
      <c r="G92" s="60">
        <f t="shared" si="19"/>
        <v>0</v>
      </c>
      <c r="H92" s="62">
        <f t="shared" si="18"/>
        <v>0</v>
      </c>
    </row>
    <row r="93" spans="1:8" ht="13.5" customHeight="1" outlineLevel="1" x14ac:dyDescent="0.2">
      <c r="A93" s="127"/>
      <c r="B93" s="52" t="s">
        <v>107</v>
      </c>
      <c r="C93" s="130" t="str">
        <f t="shared" si="15"/>
        <v>×</v>
      </c>
      <c r="D93" s="124"/>
      <c r="E93" s="63"/>
      <c r="F93" s="125">
        <v>4785</v>
      </c>
      <c r="G93" s="60">
        <f t="shared" si="19"/>
        <v>0</v>
      </c>
      <c r="H93" s="62">
        <f t="shared" si="18"/>
        <v>0</v>
      </c>
    </row>
    <row r="94" spans="1:8" ht="13.5" customHeight="1" outlineLevel="1" x14ac:dyDescent="0.2">
      <c r="A94" s="127"/>
      <c r="B94" s="52" t="s">
        <v>108</v>
      </c>
      <c r="C94" s="130" t="str">
        <f t="shared" si="15"/>
        <v>×</v>
      </c>
      <c r="D94" s="124"/>
      <c r="E94" s="63"/>
      <c r="F94" s="125">
        <v>3100</v>
      </c>
      <c r="G94" s="60">
        <f t="shared" si="19"/>
        <v>0</v>
      </c>
      <c r="H94" s="62">
        <f t="shared" si="18"/>
        <v>0</v>
      </c>
    </row>
    <row r="95" spans="1:8" ht="13.5" customHeight="1" outlineLevel="1" x14ac:dyDescent="0.2">
      <c r="A95" s="127"/>
      <c r="B95" s="52" t="s">
        <v>109</v>
      </c>
      <c r="C95" s="130" t="str">
        <f t="shared" si="15"/>
        <v>×</v>
      </c>
      <c r="D95" s="124"/>
      <c r="E95" s="63"/>
      <c r="F95" s="125">
        <v>2414</v>
      </c>
      <c r="G95" s="60">
        <f t="shared" si="19"/>
        <v>0</v>
      </c>
      <c r="H95" s="62">
        <f t="shared" si="18"/>
        <v>0</v>
      </c>
    </row>
    <row r="96" spans="1:8" ht="13.5" customHeight="1" outlineLevel="1" x14ac:dyDescent="0.2">
      <c r="A96" s="127"/>
      <c r="B96" s="52" t="s">
        <v>110</v>
      </c>
      <c r="C96" s="130" t="str">
        <f t="shared" si="15"/>
        <v>×</v>
      </c>
      <c r="D96" s="124"/>
      <c r="E96" s="63"/>
      <c r="F96" s="125">
        <v>2055</v>
      </c>
      <c r="G96" s="60">
        <f t="shared" si="19"/>
        <v>0</v>
      </c>
      <c r="H96" s="62">
        <f t="shared" si="18"/>
        <v>0</v>
      </c>
    </row>
    <row r="97" spans="1:8" ht="13.5" customHeight="1" x14ac:dyDescent="0.2">
      <c r="A97" s="127" t="s">
        <v>275</v>
      </c>
      <c r="B97" s="52" t="s">
        <v>111</v>
      </c>
      <c r="C97" s="52"/>
      <c r="D97" s="62">
        <f>SUM(D98:D107)</f>
        <v>0</v>
      </c>
      <c r="E97" s="62">
        <f>SUM(E98:E108)</f>
        <v>0</v>
      </c>
      <c r="F97" s="58"/>
      <c r="G97" s="60">
        <f>SUM(G98:G107)</f>
        <v>0</v>
      </c>
      <c r="H97" s="60">
        <f>SUM(H98:H107)</f>
        <v>0</v>
      </c>
    </row>
    <row r="98" spans="1:8" ht="13.5" customHeight="1" outlineLevel="1" x14ac:dyDescent="0.2">
      <c r="A98" s="127"/>
      <c r="B98" s="52" t="s">
        <v>112</v>
      </c>
      <c r="C98" s="130" t="str">
        <f t="shared" si="15"/>
        <v>×</v>
      </c>
      <c r="D98" s="124"/>
      <c r="E98" s="63"/>
      <c r="F98" s="125">
        <v>14086</v>
      </c>
      <c r="G98" s="60">
        <f t="shared" si="19"/>
        <v>0</v>
      </c>
      <c r="H98" s="62">
        <f>G98*F98/1000</f>
        <v>0</v>
      </c>
    </row>
    <row r="99" spans="1:8" ht="13.5" customHeight="1" outlineLevel="1" x14ac:dyDescent="0.2">
      <c r="A99" s="127"/>
      <c r="B99" s="52" t="s">
        <v>113</v>
      </c>
      <c r="C99" s="130" t="str">
        <f t="shared" si="15"/>
        <v>×</v>
      </c>
      <c r="D99" s="124"/>
      <c r="E99" s="63"/>
      <c r="F99" s="125">
        <v>8856</v>
      </c>
      <c r="G99" s="60">
        <f t="shared" si="19"/>
        <v>0</v>
      </c>
      <c r="H99" s="62">
        <f t="shared" ref="H99:H107" si="20">G99*F99/1000</f>
        <v>0</v>
      </c>
    </row>
    <row r="100" spans="1:8" ht="13.5" customHeight="1" outlineLevel="1" x14ac:dyDescent="0.2">
      <c r="A100" s="127"/>
      <c r="B100" s="52" t="s">
        <v>114</v>
      </c>
      <c r="C100" s="130" t="str">
        <f t="shared" si="15"/>
        <v>×</v>
      </c>
      <c r="D100" s="124"/>
      <c r="E100" s="63"/>
      <c r="F100" s="125">
        <v>5886</v>
      </c>
      <c r="G100" s="60">
        <f t="shared" si="19"/>
        <v>0</v>
      </c>
      <c r="H100" s="62">
        <f t="shared" si="20"/>
        <v>0</v>
      </c>
    </row>
    <row r="101" spans="1:8" ht="13.5" customHeight="1" outlineLevel="1" x14ac:dyDescent="0.2">
      <c r="A101" s="127"/>
      <c r="B101" s="52" t="s">
        <v>115</v>
      </c>
      <c r="C101" s="130" t="str">
        <f t="shared" si="15"/>
        <v>×</v>
      </c>
      <c r="D101" s="124"/>
      <c r="E101" s="63"/>
      <c r="F101" s="125">
        <v>5127</v>
      </c>
      <c r="G101" s="60">
        <f t="shared" si="19"/>
        <v>0</v>
      </c>
      <c r="H101" s="62">
        <f t="shared" si="20"/>
        <v>0</v>
      </c>
    </row>
    <row r="102" spans="1:8" ht="13.5" customHeight="1" outlineLevel="1" x14ac:dyDescent="0.2">
      <c r="A102" s="127"/>
      <c r="B102" s="52" t="s">
        <v>217</v>
      </c>
      <c r="C102" s="130" t="str">
        <f t="shared" si="15"/>
        <v>×</v>
      </c>
      <c r="D102" s="124"/>
      <c r="E102" s="63"/>
      <c r="F102" s="125">
        <v>4248</v>
      </c>
      <c r="G102" s="60">
        <f t="shared" si="19"/>
        <v>0</v>
      </c>
      <c r="H102" s="62">
        <f t="shared" si="20"/>
        <v>0</v>
      </c>
    </row>
    <row r="103" spans="1:8" ht="13.5" customHeight="1" outlineLevel="1" x14ac:dyDescent="0.2">
      <c r="A103" s="127"/>
      <c r="B103" s="52" t="s">
        <v>116</v>
      </c>
      <c r="C103" s="130" t="str">
        <f t="shared" si="15"/>
        <v>×</v>
      </c>
      <c r="D103" s="124"/>
      <c r="E103" s="63"/>
      <c r="F103" s="125">
        <v>25507</v>
      </c>
      <c r="G103" s="60">
        <f t="shared" si="19"/>
        <v>0</v>
      </c>
      <c r="H103" s="62">
        <f t="shared" si="20"/>
        <v>0</v>
      </c>
    </row>
    <row r="104" spans="1:8" ht="13.5" customHeight="1" outlineLevel="1" x14ac:dyDescent="0.2">
      <c r="A104" s="127"/>
      <c r="B104" s="52" t="s">
        <v>117</v>
      </c>
      <c r="C104" s="130" t="str">
        <f t="shared" si="15"/>
        <v>×</v>
      </c>
      <c r="D104" s="124"/>
      <c r="E104" s="63"/>
      <c r="F104" s="125">
        <v>21766</v>
      </c>
      <c r="G104" s="60">
        <f t="shared" si="19"/>
        <v>0</v>
      </c>
      <c r="H104" s="62">
        <f t="shared" si="20"/>
        <v>0</v>
      </c>
    </row>
    <row r="105" spans="1:8" ht="13.5" customHeight="1" outlineLevel="1" x14ac:dyDescent="0.2">
      <c r="A105" s="127"/>
      <c r="B105" s="52" t="s">
        <v>118</v>
      </c>
      <c r="C105" s="130" t="str">
        <f t="shared" si="15"/>
        <v>×</v>
      </c>
      <c r="D105" s="124"/>
      <c r="E105" s="63"/>
      <c r="F105" s="125">
        <v>14467</v>
      </c>
      <c r="G105" s="60">
        <f t="shared" si="19"/>
        <v>0</v>
      </c>
      <c r="H105" s="62">
        <f t="shared" si="20"/>
        <v>0</v>
      </c>
    </row>
    <row r="106" spans="1:8" ht="13.5" customHeight="1" outlineLevel="1" x14ac:dyDescent="0.2">
      <c r="A106" s="127"/>
      <c r="B106" s="52" t="s">
        <v>119</v>
      </c>
      <c r="C106" s="130" t="str">
        <f t="shared" si="15"/>
        <v>×</v>
      </c>
      <c r="D106" s="124"/>
      <c r="E106" s="63"/>
      <c r="F106" s="125">
        <v>9967</v>
      </c>
      <c r="G106" s="60">
        <f t="shared" si="19"/>
        <v>0</v>
      </c>
      <c r="H106" s="62">
        <f t="shared" si="20"/>
        <v>0</v>
      </c>
    </row>
    <row r="107" spans="1:8" ht="13.5" customHeight="1" outlineLevel="1" x14ac:dyDescent="0.2">
      <c r="A107" s="127"/>
      <c r="B107" s="52" t="s">
        <v>120</v>
      </c>
      <c r="C107" s="130" t="str">
        <f t="shared" si="15"/>
        <v>×</v>
      </c>
      <c r="D107" s="124"/>
      <c r="E107" s="63"/>
      <c r="F107" s="125">
        <v>8258</v>
      </c>
      <c r="G107" s="60">
        <f t="shared" si="19"/>
        <v>0</v>
      </c>
      <c r="H107" s="62">
        <f t="shared" si="20"/>
        <v>0</v>
      </c>
    </row>
    <row r="108" spans="1:8" ht="13.5" customHeight="1" outlineLevel="1" x14ac:dyDescent="0.2">
      <c r="A108" s="127"/>
      <c r="B108" s="52" t="s">
        <v>214</v>
      </c>
      <c r="C108" s="130" t="str">
        <f t="shared" si="15"/>
        <v>×</v>
      </c>
      <c r="D108" s="124"/>
      <c r="E108" s="63"/>
      <c r="F108" s="125">
        <v>13259</v>
      </c>
      <c r="G108" s="60">
        <f t="shared" ref="G108" si="21">D108</f>
        <v>0</v>
      </c>
      <c r="H108" s="62">
        <f t="shared" ref="H108" si="22">G108*F108/1000</f>
        <v>0</v>
      </c>
    </row>
    <row r="109" spans="1:8" ht="24" customHeight="1" x14ac:dyDescent="0.2">
      <c r="A109" s="127" t="s">
        <v>276</v>
      </c>
      <c r="B109" s="106" t="s">
        <v>261</v>
      </c>
      <c r="C109" s="52"/>
      <c r="D109" s="60">
        <f>SUM(D110:D112)</f>
        <v>0</v>
      </c>
      <c r="E109" s="62">
        <f>SUM(E110:E112)</f>
        <v>0</v>
      </c>
      <c r="F109" s="66"/>
      <c r="G109" s="62">
        <f>SUM(G110:G112)</f>
        <v>0</v>
      </c>
      <c r="H109" s="62">
        <f>SUM(H110:H112)</f>
        <v>0</v>
      </c>
    </row>
    <row r="110" spans="1:8" ht="14.25" customHeight="1" outlineLevel="1" x14ac:dyDescent="0.2">
      <c r="A110" s="119"/>
      <c r="B110" s="52" t="s">
        <v>262</v>
      </c>
      <c r="C110" s="130" t="str">
        <f t="shared" si="15"/>
        <v>×</v>
      </c>
      <c r="D110" s="67"/>
      <c r="E110" s="70"/>
      <c r="F110" s="125">
        <v>18088</v>
      </c>
      <c r="G110" s="60">
        <f t="shared" ref="G110:G112" si="23">D110</f>
        <v>0</v>
      </c>
      <c r="H110" s="60">
        <f>F110*G110/1000</f>
        <v>0</v>
      </c>
    </row>
    <row r="111" spans="1:8" ht="14.25" customHeight="1" outlineLevel="1" x14ac:dyDescent="0.2">
      <c r="A111" s="119"/>
      <c r="B111" s="52" t="s">
        <v>264</v>
      </c>
      <c r="C111" s="130" t="str">
        <f t="shared" si="15"/>
        <v>×</v>
      </c>
      <c r="D111" s="67"/>
      <c r="E111" s="70"/>
      <c r="F111" s="125">
        <v>31009</v>
      </c>
      <c r="G111" s="60">
        <f t="shared" si="23"/>
        <v>0</v>
      </c>
      <c r="H111" s="60">
        <f t="shared" ref="H111:H112" si="24">F111*G111/1000</f>
        <v>0</v>
      </c>
    </row>
    <row r="112" spans="1:8" ht="14.25" customHeight="1" outlineLevel="1" x14ac:dyDescent="0.2">
      <c r="A112" s="119"/>
      <c r="B112" s="52" t="s">
        <v>263</v>
      </c>
      <c r="C112" s="130" t="str">
        <f t="shared" si="15"/>
        <v>×</v>
      </c>
      <c r="D112" s="67"/>
      <c r="E112" s="70"/>
      <c r="F112" s="125">
        <v>34885</v>
      </c>
      <c r="G112" s="60">
        <f t="shared" si="23"/>
        <v>0</v>
      </c>
      <c r="H112" s="60">
        <f t="shared" si="24"/>
        <v>0</v>
      </c>
    </row>
    <row r="113" spans="1:8" ht="13.5" customHeight="1" x14ac:dyDescent="0.2">
      <c r="A113" s="187" t="s">
        <v>287</v>
      </c>
      <c r="B113" s="187"/>
      <c r="C113" s="52"/>
      <c r="D113" s="52"/>
      <c r="E113" s="52"/>
      <c r="F113" s="58"/>
      <c r="G113" s="52"/>
      <c r="H113" s="52"/>
    </row>
    <row r="114" spans="1:8" ht="13.5" customHeight="1" x14ac:dyDescent="0.2">
      <c r="A114" s="127" t="s">
        <v>121</v>
      </c>
      <c r="B114" s="52" t="s">
        <v>76</v>
      </c>
      <c r="C114" s="52"/>
      <c r="D114" s="60">
        <f>SUM(D115,D128)</f>
        <v>0</v>
      </c>
      <c r="E114" s="62">
        <f>SUM(E115,E128)</f>
        <v>0</v>
      </c>
      <c r="F114" s="66"/>
      <c r="G114" s="62">
        <f t="shared" ref="G114:H114" si="25">SUM(G115,G128)</f>
        <v>0</v>
      </c>
      <c r="H114" s="62">
        <f t="shared" si="25"/>
        <v>0</v>
      </c>
    </row>
    <row r="115" spans="1:8" ht="13.5" customHeight="1" x14ac:dyDescent="0.2">
      <c r="A115" s="127" t="s">
        <v>277</v>
      </c>
      <c r="B115" s="52" t="s">
        <v>77</v>
      </c>
      <c r="C115" s="52"/>
      <c r="D115" s="60">
        <f>SUM(D116:D127)</f>
        <v>0</v>
      </c>
      <c r="E115" s="62">
        <f>SUM(E116:E127)</f>
        <v>0</v>
      </c>
      <c r="F115" s="66"/>
      <c r="G115" s="62">
        <f t="shared" ref="G115:H115" si="26">SUM(G116:G127)</f>
        <v>0</v>
      </c>
      <c r="H115" s="62">
        <f t="shared" si="26"/>
        <v>0</v>
      </c>
    </row>
    <row r="116" spans="1:8" ht="13.5" customHeight="1" outlineLevel="1" x14ac:dyDescent="0.2">
      <c r="A116" s="127"/>
      <c r="B116" s="52" t="s">
        <v>78</v>
      </c>
      <c r="C116" s="130" t="str">
        <f t="shared" ref="C116:C164" si="27">IFERROR(E116*1000/D116,"×")</f>
        <v>×</v>
      </c>
      <c r="D116" s="67"/>
      <c r="E116" s="63"/>
      <c r="F116" s="125">
        <v>1044147</v>
      </c>
      <c r="G116" s="60">
        <f>D116</f>
        <v>0</v>
      </c>
      <c r="H116" s="60">
        <f>F116*G116/1000</f>
        <v>0</v>
      </c>
    </row>
    <row r="117" spans="1:8" ht="13.5" customHeight="1" outlineLevel="1" x14ac:dyDescent="0.2">
      <c r="A117" s="127"/>
      <c r="B117" s="52" t="s">
        <v>202</v>
      </c>
      <c r="C117" s="130" t="str">
        <f t="shared" si="27"/>
        <v>×</v>
      </c>
      <c r="D117" s="67"/>
      <c r="E117" s="63"/>
      <c r="F117" s="125">
        <v>1220149</v>
      </c>
      <c r="G117" s="60">
        <f t="shared" ref="G117:G178" si="28">D117</f>
        <v>0</v>
      </c>
      <c r="H117" s="60">
        <f t="shared" ref="H117:H127" si="29">F117*G117/1000</f>
        <v>0</v>
      </c>
    </row>
    <row r="118" spans="1:8" ht="13.5" customHeight="1" outlineLevel="1" x14ac:dyDescent="0.2">
      <c r="A118" s="127"/>
      <c r="B118" s="52" t="s">
        <v>203</v>
      </c>
      <c r="C118" s="130" t="str">
        <f t="shared" si="27"/>
        <v>×</v>
      </c>
      <c r="D118" s="67"/>
      <c r="E118" s="63"/>
      <c r="F118" s="125">
        <v>1374025</v>
      </c>
      <c r="G118" s="60">
        <f t="shared" si="28"/>
        <v>0</v>
      </c>
      <c r="H118" s="60">
        <f t="shared" si="29"/>
        <v>0</v>
      </c>
    </row>
    <row r="119" spans="1:8" ht="13.5" customHeight="1" outlineLevel="1" x14ac:dyDescent="0.2">
      <c r="A119" s="127"/>
      <c r="B119" s="52" t="s">
        <v>79</v>
      </c>
      <c r="C119" s="130" t="str">
        <f t="shared" si="27"/>
        <v>×</v>
      </c>
      <c r="D119" s="67"/>
      <c r="E119" s="63"/>
      <c r="F119" s="125">
        <v>1226408</v>
      </c>
      <c r="G119" s="60">
        <f t="shared" si="28"/>
        <v>0</v>
      </c>
      <c r="H119" s="60">
        <f t="shared" si="29"/>
        <v>0</v>
      </c>
    </row>
    <row r="120" spans="1:8" ht="13.5" customHeight="1" outlineLevel="1" x14ac:dyDescent="0.2">
      <c r="A120" s="127"/>
      <c r="B120" s="52" t="s">
        <v>204</v>
      </c>
      <c r="C120" s="130" t="str">
        <f t="shared" si="27"/>
        <v>×</v>
      </c>
      <c r="D120" s="67"/>
      <c r="E120" s="63"/>
      <c r="F120" s="125">
        <v>1433132</v>
      </c>
      <c r="G120" s="60">
        <f t="shared" si="28"/>
        <v>0</v>
      </c>
      <c r="H120" s="60">
        <f t="shared" si="29"/>
        <v>0</v>
      </c>
    </row>
    <row r="121" spans="1:8" ht="13.5" customHeight="1" outlineLevel="1" x14ac:dyDescent="0.2">
      <c r="A121" s="127"/>
      <c r="B121" s="52" t="s">
        <v>205</v>
      </c>
      <c r="C121" s="130" t="str">
        <f t="shared" si="27"/>
        <v>×</v>
      </c>
      <c r="D121" s="67"/>
      <c r="E121" s="63"/>
      <c r="F121" s="125">
        <v>1613868</v>
      </c>
      <c r="G121" s="60">
        <f t="shared" si="28"/>
        <v>0</v>
      </c>
      <c r="H121" s="60">
        <f t="shared" si="29"/>
        <v>0</v>
      </c>
    </row>
    <row r="122" spans="1:8" ht="13.5" customHeight="1" outlineLevel="1" x14ac:dyDescent="0.2">
      <c r="A122" s="127"/>
      <c r="B122" s="52" t="s">
        <v>346</v>
      </c>
      <c r="C122" s="130" t="str">
        <f t="shared" si="27"/>
        <v>×</v>
      </c>
      <c r="D122" s="67"/>
      <c r="E122" s="63"/>
      <c r="F122" s="125">
        <v>1282874</v>
      </c>
      <c r="G122" s="60">
        <f t="shared" si="28"/>
        <v>0</v>
      </c>
      <c r="H122" s="60">
        <f t="shared" si="29"/>
        <v>0</v>
      </c>
    </row>
    <row r="123" spans="1:8" ht="13.5" customHeight="1" outlineLevel="1" x14ac:dyDescent="0.2">
      <c r="A123" s="127"/>
      <c r="B123" s="52" t="s">
        <v>347</v>
      </c>
      <c r="C123" s="130" t="str">
        <f t="shared" si="27"/>
        <v>×</v>
      </c>
      <c r="D123" s="67"/>
      <c r="E123" s="63"/>
      <c r="F123" s="125">
        <v>2010876</v>
      </c>
      <c r="G123" s="60">
        <f t="shared" si="28"/>
        <v>0</v>
      </c>
      <c r="H123" s="60">
        <f t="shared" si="29"/>
        <v>0</v>
      </c>
    </row>
    <row r="124" spans="1:8" ht="13.5" customHeight="1" outlineLevel="1" x14ac:dyDescent="0.2">
      <c r="A124" s="127"/>
      <c r="B124" s="52" t="s">
        <v>348</v>
      </c>
      <c r="C124" s="130" t="str">
        <f t="shared" si="27"/>
        <v>×</v>
      </c>
      <c r="D124" s="67"/>
      <c r="E124" s="63"/>
      <c r="F124" s="125">
        <v>2108890</v>
      </c>
      <c r="G124" s="60">
        <f t="shared" si="28"/>
        <v>0</v>
      </c>
      <c r="H124" s="60">
        <f t="shared" si="29"/>
        <v>0</v>
      </c>
    </row>
    <row r="125" spans="1:8" ht="13.5" customHeight="1" outlineLevel="1" x14ac:dyDescent="0.2">
      <c r="A125" s="127"/>
      <c r="B125" s="52" t="s">
        <v>349</v>
      </c>
      <c r="C125" s="130" t="str">
        <f t="shared" si="27"/>
        <v>×</v>
      </c>
      <c r="D125" s="67"/>
      <c r="E125" s="63"/>
      <c r="F125" s="125">
        <v>1355046</v>
      </c>
      <c r="G125" s="60">
        <f t="shared" si="28"/>
        <v>0</v>
      </c>
      <c r="H125" s="60">
        <f t="shared" si="29"/>
        <v>0</v>
      </c>
    </row>
    <row r="126" spans="1:8" ht="13.5" customHeight="1" outlineLevel="1" x14ac:dyDescent="0.2">
      <c r="A126" s="127"/>
      <c r="B126" s="52" t="s">
        <v>350</v>
      </c>
      <c r="C126" s="130" t="str">
        <f t="shared" si="27"/>
        <v>×</v>
      </c>
      <c r="D126" s="67"/>
      <c r="E126" s="63"/>
      <c r="F126" s="125">
        <v>1683292</v>
      </c>
      <c r="G126" s="60">
        <f t="shared" si="28"/>
        <v>0</v>
      </c>
      <c r="H126" s="60">
        <f t="shared" si="29"/>
        <v>0</v>
      </c>
    </row>
    <row r="127" spans="1:8" ht="13.5" customHeight="1" outlineLevel="1" x14ac:dyDescent="0.2">
      <c r="A127" s="127"/>
      <c r="B127" s="52" t="s">
        <v>351</v>
      </c>
      <c r="C127" s="130" t="str">
        <f t="shared" si="27"/>
        <v>×</v>
      </c>
      <c r="D127" s="67"/>
      <c r="E127" s="63"/>
      <c r="F127" s="125">
        <v>2250469</v>
      </c>
      <c r="G127" s="60">
        <f t="shared" si="28"/>
        <v>0</v>
      </c>
      <c r="H127" s="60">
        <f t="shared" si="29"/>
        <v>0</v>
      </c>
    </row>
    <row r="128" spans="1:8" ht="13.5" customHeight="1" x14ac:dyDescent="0.2">
      <c r="A128" s="127" t="s">
        <v>278</v>
      </c>
      <c r="B128" s="52" t="s">
        <v>80</v>
      </c>
      <c r="C128" s="52"/>
      <c r="D128" s="60">
        <f>SUM(D129:D140)</f>
        <v>0</v>
      </c>
      <c r="E128" s="62">
        <f>SUM(E129:E140)</f>
        <v>0</v>
      </c>
      <c r="F128" s="66"/>
      <c r="G128" s="62">
        <f t="shared" ref="G128:H128" si="30">SUM(G129:G140)</f>
        <v>0</v>
      </c>
      <c r="H128" s="62">
        <f t="shared" si="30"/>
        <v>0</v>
      </c>
    </row>
    <row r="129" spans="1:8" ht="13.5" customHeight="1" outlineLevel="1" x14ac:dyDescent="0.2">
      <c r="A129" s="127"/>
      <c r="B129" s="52" t="s">
        <v>78</v>
      </c>
      <c r="C129" s="130" t="str">
        <f t="shared" si="27"/>
        <v>×</v>
      </c>
      <c r="D129" s="67"/>
      <c r="E129" s="63"/>
      <c r="F129" s="125">
        <v>1100201</v>
      </c>
      <c r="G129" s="60">
        <f t="shared" si="28"/>
        <v>0</v>
      </c>
      <c r="H129" s="60">
        <f>F129*G129/1000</f>
        <v>0</v>
      </c>
    </row>
    <row r="130" spans="1:8" ht="13.5" customHeight="1" outlineLevel="1" x14ac:dyDescent="0.2">
      <c r="A130" s="127"/>
      <c r="B130" s="52" t="s">
        <v>202</v>
      </c>
      <c r="C130" s="130" t="str">
        <f t="shared" si="27"/>
        <v>×</v>
      </c>
      <c r="D130" s="67"/>
      <c r="E130" s="63"/>
      <c r="F130" s="125">
        <v>1231109</v>
      </c>
      <c r="G130" s="60">
        <f t="shared" si="28"/>
        <v>0</v>
      </c>
      <c r="H130" s="60">
        <f t="shared" ref="H130:H140" si="31">F130*G130/1000</f>
        <v>0</v>
      </c>
    </row>
    <row r="131" spans="1:8" ht="13.5" customHeight="1" outlineLevel="1" x14ac:dyDescent="0.2">
      <c r="A131" s="127"/>
      <c r="B131" s="52" t="s">
        <v>203</v>
      </c>
      <c r="C131" s="130" t="str">
        <f t="shared" si="27"/>
        <v>×</v>
      </c>
      <c r="D131" s="67"/>
      <c r="E131" s="63"/>
      <c r="F131" s="125">
        <v>1715157</v>
      </c>
      <c r="G131" s="60">
        <f t="shared" si="28"/>
        <v>0</v>
      </c>
      <c r="H131" s="60">
        <f t="shared" si="31"/>
        <v>0</v>
      </c>
    </row>
    <row r="132" spans="1:8" ht="13.5" customHeight="1" outlineLevel="1" x14ac:dyDescent="0.2">
      <c r="A132" s="127"/>
      <c r="B132" s="52" t="s">
        <v>79</v>
      </c>
      <c r="C132" s="130" t="str">
        <f t="shared" si="27"/>
        <v>×</v>
      </c>
      <c r="D132" s="67"/>
      <c r="E132" s="63"/>
      <c r="F132" s="125">
        <v>1292246</v>
      </c>
      <c r="G132" s="60">
        <f t="shared" si="28"/>
        <v>0</v>
      </c>
      <c r="H132" s="60">
        <f t="shared" si="31"/>
        <v>0</v>
      </c>
    </row>
    <row r="133" spans="1:8" ht="13.5" customHeight="1" outlineLevel="1" x14ac:dyDescent="0.2">
      <c r="A133" s="127"/>
      <c r="B133" s="52" t="s">
        <v>204</v>
      </c>
      <c r="C133" s="130" t="str">
        <f t="shared" si="27"/>
        <v>×</v>
      </c>
      <c r="D133" s="67"/>
      <c r="E133" s="63"/>
      <c r="F133" s="125">
        <v>1446005</v>
      </c>
      <c r="G133" s="60">
        <f t="shared" si="28"/>
        <v>0</v>
      </c>
      <c r="H133" s="60">
        <f t="shared" si="31"/>
        <v>0</v>
      </c>
    </row>
    <row r="134" spans="1:8" ht="13.5" customHeight="1" outlineLevel="1" x14ac:dyDescent="0.2">
      <c r="A134" s="127"/>
      <c r="B134" s="52" t="s">
        <v>205</v>
      </c>
      <c r="C134" s="130" t="str">
        <f t="shared" si="27"/>
        <v>×</v>
      </c>
      <c r="D134" s="67"/>
      <c r="E134" s="63"/>
      <c r="F134" s="125">
        <v>2014547</v>
      </c>
      <c r="G134" s="60">
        <f t="shared" si="28"/>
        <v>0</v>
      </c>
      <c r="H134" s="60">
        <f t="shared" si="31"/>
        <v>0</v>
      </c>
    </row>
    <row r="135" spans="1:8" ht="13.5" customHeight="1" outlineLevel="1" x14ac:dyDescent="0.2">
      <c r="A135" s="127"/>
      <c r="B135" s="52" t="s">
        <v>346</v>
      </c>
      <c r="C135" s="130" t="str">
        <f t="shared" si="27"/>
        <v>×</v>
      </c>
      <c r="D135" s="67"/>
      <c r="E135" s="63"/>
      <c r="F135" s="125">
        <v>2022799</v>
      </c>
      <c r="G135" s="60">
        <f t="shared" si="28"/>
        <v>0</v>
      </c>
      <c r="H135" s="60">
        <f t="shared" si="31"/>
        <v>0</v>
      </c>
    </row>
    <row r="136" spans="1:8" ht="13.5" customHeight="1" outlineLevel="1" x14ac:dyDescent="0.2">
      <c r="A136" s="127"/>
      <c r="B136" s="52" t="s">
        <v>347</v>
      </c>
      <c r="C136" s="130" t="str">
        <f t="shared" si="27"/>
        <v>×</v>
      </c>
      <c r="D136" s="67"/>
      <c r="E136" s="63"/>
      <c r="F136" s="125">
        <v>2206749</v>
      </c>
      <c r="G136" s="60">
        <f t="shared" si="28"/>
        <v>0</v>
      </c>
      <c r="H136" s="60">
        <f t="shared" si="31"/>
        <v>0</v>
      </c>
    </row>
    <row r="137" spans="1:8" ht="13.5" customHeight="1" outlineLevel="1" x14ac:dyDescent="0.2">
      <c r="A137" s="127"/>
      <c r="B137" s="52" t="s">
        <v>348</v>
      </c>
      <c r="C137" s="130" t="str">
        <f t="shared" si="27"/>
        <v>×</v>
      </c>
      <c r="D137" s="67"/>
      <c r="E137" s="63"/>
      <c r="F137" s="125">
        <v>2314310</v>
      </c>
      <c r="G137" s="60">
        <f t="shared" si="28"/>
        <v>0</v>
      </c>
      <c r="H137" s="60">
        <f t="shared" si="31"/>
        <v>0</v>
      </c>
    </row>
    <row r="138" spans="1:8" ht="13.5" customHeight="1" outlineLevel="1" x14ac:dyDescent="0.2">
      <c r="A138" s="127"/>
      <c r="B138" s="52" t="s">
        <v>349</v>
      </c>
      <c r="C138" s="130" t="str">
        <f t="shared" si="27"/>
        <v>×</v>
      </c>
      <c r="D138" s="67"/>
      <c r="E138" s="63"/>
      <c r="F138" s="125">
        <v>2375888</v>
      </c>
      <c r="G138" s="60">
        <f t="shared" si="28"/>
        <v>0</v>
      </c>
      <c r="H138" s="60">
        <f t="shared" si="31"/>
        <v>0</v>
      </c>
    </row>
    <row r="139" spans="1:8" ht="13.5" customHeight="1" outlineLevel="1" x14ac:dyDescent="0.2">
      <c r="A139" s="127"/>
      <c r="B139" s="52" t="s">
        <v>350</v>
      </c>
      <c r="C139" s="130" t="str">
        <f t="shared" si="27"/>
        <v>×</v>
      </c>
      <c r="D139" s="67"/>
      <c r="E139" s="63"/>
      <c r="F139" s="125">
        <v>2591948</v>
      </c>
      <c r="G139" s="60">
        <f t="shared" si="28"/>
        <v>0</v>
      </c>
      <c r="H139" s="60">
        <f t="shared" si="31"/>
        <v>0</v>
      </c>
    </row>
    <row r="140" spans="1:8" ht="13.5" customHeight="1" outlineLevel="1" x14ac:dyDescent="0.2">
      <c r="A140" s="127"/>
      <c r="B140" s="52" t="s">
        <v>351</v>
      </c>
      <c r="C140" s="130" t="str">
        <f t="shared" si="27"/>
        <v>×</v>
      </c>
      <c r="D140" s="67"/>
      <c r="E140" s="63"/>
      <c r="F140" s="125">
        <v>2718285</v>
      </c>
      <c r="G140" s="60">
        <f t="shared" si="28"/>
        <v>0</v>
      </c>
      <c r="H140" s="60">
        <f t="shared" si="31"/>
        <v>0</v>
      </c>
    </row>
    <row r="141" spans="1:8" ht="13.5" customHeight="1" x14ac:dyDescent="0.2">
      <c r="A141" s="127" t="s">
        <v>182</v>
      </c>
      <c r="B141" s="105" t="s">
        <v>82</v>
      </c>
      <c r="C141" s="52"/>
      <c r="D141" s="60">
        <f>SUM(D142:D157)</f>
        <v>0</v>
      </c>
      <c r="E141" s="62">
        <f>SUM(E142:E157)</f>
        <v>0</v>
      </c>
      <c r="F141" s="66"/>
      <c r="G141" s="62">
        <f>SUM(G142:G157)</f>
        <v>0</v>
      </c>
      <c r="H141" s="62">
        <f>SUM(H142:H157)</f>
        <v>0</v>
      </c>
    </row>
    <row r="142" spans="1:8" ht="13.5" customHeight="1" outlineLevel="1" x14ac:dyDescent="0.2">
      <c r="A142" s="127"/>
      <c r="B142" s="52" t="s">
        <v>83</v>
      </c>
      <c r="C142" s="130" t="str">
        <f t="shared" si="27"/>
        <v>×</v>
      </c>
      <c r="D142" s="67"/>
      <c r="E142" s="63"/>
      <c r="F142" s="125">
        <v>1616727</v>
      </c>
      <c r="G142" s="60">
        <f t="shared" si="28"/>
        <v>0</v>
      </c>
      <c r="H142" s="60">
        <f>F142*G142/1000</f>
        <v>0</v>
      </c>
    </row>
    <row r="143" spans="1:8" ht="13.5" customHeight="1" outlineLevel="1" x14ac:dyDescent="0.2">
      <c r="A143" s="127"/>
      <c r="B143" s="52" t="s">
        <v>206</v>
      </c>
      <c r="C143" s="130" t="str">
        <f t="shared" si="27"/>
        <v>×</v>
      </c>
      <c r="D143" s="67"/>
      <c r="E143" s="63"/>
      <c r="F143" s="125">
        <v>2368947</v>
      </c>
      <c r="G143" s="60">
        <f t="shared" si="28"/>
        <v>0</v>
      </c>
      <c r="H143" s="60">
        <f t="shared" ref="H143:H157" si="32">F143*G143/1000</f>
        <v>0</v>
      </c>
    </row>
    <row r="144" spans="1:8" ht="13.5" customHeight="1" outlineLevel="1" x14ac:dyDescent="0.2">
      <c r="A144" s="127"/>
      <c r="B144" s="52" t="s">
        <v>207</v>
      </c>
      <c r="C144" s="130" t="str">
        <f t="shared" si="27"/>
        <v>×</v>
      </c>
      <c r="D144" s="67"/>
      <c r="E144" s="63"/>
      <c r="F144" s="125">
        <v>2587547</v>
      </c>
      <c r="G144" s="60">
        <f t="shared" si="28"/>
        <v>0</v>
      </c>
      <c r="H144" s="60">
        <f t="shared" si="32"/>
        <v>0</v>
      </c>
    </row>
    <row r="145" spans="1:8" ht="13.5" customHeight="1" outlineLevel="1" x14ac:dyDescent="0.2">
      <c r="A145" s="127"/>
      <c r="B145" s="52" t="s">
        <v>208</v>
      </c>
      <c r="C145" s="130" t="str">
        <f t="shared" si="27"/>
        <v>×</v>
      </c>
      <c r="D145" s="67"/>
      <c r="E145" s="63"/>
      <c r="F145" s="125">
        <v>3899047</v>
      </c>
      <c r="G145" s="60">
        <f t="shared" si="28"/>
        <v>0</v>
      </c>
      <c r="H145" s="60">
        <f t="shared" si="32"/>
        <v>0</v>
      </c>
    </row>
    <row r="146" spans="1:8" ht="13.5" customHeight="1" outlineLevel="1" x14ac:dyDescent="0.2">
      <c r="A146" s="127"/>
      <c r="B146" s="52" t="s">
        <v>84</v>
      </c>
      <c r="C146" s="130" t="str">
        <f t="shared" si="27"/>
        <v>×</v>
      </c>
      <c r="D146" s="67"/>
      <c r="E146" s="63"/>
      <c r="F146" s="125">
        <v>2185349</v>
      </c>
      <c r="G146" s="60">
        <f t="shared" si="28"/>
        <v>0</v>
      </c>
      <c r="H146" s="60">
        <f t="shared" si="32"/>
        <v>0</v>
      </c>
    </row>
    <row r="147" spans="1:8" ht="13.5" customHeight="1" outlineLevel="1" x14ac:dyDescent="0.2">
      <c r="A147" s="127"/>
      <c r="B147" s="52" t="s">
        <v>209</v>
      </c>
      <c r="C147" s="130" t="str">
        <f t="shared" si="27"/>
        <v>×</v>
      </c>
      <c r="D147" s="67"/>
      <c r="E147" s="63"/>
      <c r="F147" s="125">
        <v>3202135</v>
      </c>
      <c r="G147" s="60">
        <f t="shared" si="28"/>
        <v>0</v>
      </c>
      <c r="H147" s="60">
        <f t="shared" si="32"/>
        <v>0</v>
      </c>
    </row>
    <row r="148" spans="1:8" ht="13.5" customHeight="1" outlineLevel="1" x14ac:dyDescent="0.2">
      <c r="A148" s="127"/>
      <c r="B148" s="52" t="s">
        <v>210</v>
      </c>
      <c r="C148" s="130" t="str">
        <f t="shared" si="27"/>
        <v>×</v>
      </c>
      <c r="D148" s="67"/>
      <c r="E148" s="63"/>
      <c r="F148" s="125">
        <v>3497620</v>
      </c>
      <c r="G148" s="60">
        <f t="shared" si="28"/>
        <v>0</v>
      </c>
      <c r="H148" s="60">
        <f t="shared" si="32"/>
        <v>0</v>
      </c>
    </row>
    <row r="149" spans="1:8" ht="13.5" customHeight="1" outlineLevel="1" x14ac:dyDescent="0.2">
      <c r="A149" s="127"/>
      <c r="B149" s="52" t="s">
        <v>211</v>
      </c>
      <c r="C149" s="130" t="str">
        <f t="shared" si="27"/>
        <v>×</v>
      </c>
      <c r="D149" s="67"/>
      <c r="E149" s="63"/>
      <c r="F149" s="125">
        <v>4785471</v>
      </c>
      <c r="G149" s="60">
        <f t="shared" si="28"/>
        <v>0</v>
      </c>
      <c r="H149" s="60">
        <f t="shared" si="32"/>
        <v>0</v>
      </c>
    </row>
    <row r="150" spans="1:8" ht="13.5" customHeight="1" outlineLevel="1" x14ac:dyDescent="0.2">
      <c r="A150" s="127"/>
      <c r="B150" s="52" t="s">
        <v>352</v>
      </c>
      <c r="C150" s="130" t="str">
        <f t="shared" si="27"/>
        <v>×</v>
      </c>
      <c r="D150" s="67"/>
      <c r="E150" s="63"/>
      <c r="F150" s="125">
        <v>2750341</v>
      </c>
      <c r="G150" s="60">
        <f t="shared" si="28"/>
        <v>0</v>
      </c>
      <c r="H150" s="60">
        <f t="shared" si="32"/>
        <v>0</v>
      </c>
    </row>
    <row r="151" spans="1:8" ht="13.5" customHeight="1" outlineLevel="1" x14ac:dyDescent="0.2">
      <c r="A151" s="127"/>
      <c r="B151" s="52" t="s">
        <v>353</v>
      </c>
      <c r="C151" s="130" t="str">
        <f t="shared" si="27"/>
        <v>×</v>
      </c>
      <c r="D151" s="67"/>
      <c r="E151" s="63"/>
      <c r="F151" s="125">
        <v>3299457</v>
      </c>
      <c r="G151" s="60">
        <f t="shared" si="28"/>
        <v>0</v>
      </c>
      <c r="H151" s="60">
        <f t="shared" si="32"/>
        <v>0</v>
      </c>
    </row>
    <row r="152" spans="1:8" ht="13.5" customHeight="1" outlineLevel="1" x14ac:dyDescent="0.2">
      <c r="A152" s="127"/>
      <c r="B152" s="52" t="s">
        <v>354</v>
      </c>
      <c r="C152" s="130" t="str">
        <f t="shared" si="27"/>
        <v>×</v>
      </c>
      <c r="D152" s="67"/>
      <c r="E152" s="63"/>
      <c r="F152" s="125">
        <v>3343315</v>
      </c>
      <c r="G152" s="60">
        <f t="shared" si="28"/>
        <v>0</v>
      </c>
      <c r="H152" s="60">
        <f t="shared" si="32"/>
        <v>0</v>
      </c>
    </row>
    <row r="153" spans="1:8" ht="13.5" customHeight="1" outlineLevel="1" x14ac:dyDescent="0.2">
      <c r="A153" s="127"/>
      <c r="B153" s="52" t="s">
        <v>355</v>
      </c>
      <c r="C153" s="130" t="str">
        <f t="shared" si="27"/>
        <v>×</v>
      </c>
      <c r="D153" s="67"/>
      <c r="E153" s="63"/>
      <c r="F153" s="125">
        <v>4781190</v>
      </c>
      <c r="G153" s="60">
        <f>D153</f>
        <v>0</v>
      </c>
      <c r="H153" s="60">
        <f t="shared" si="32"/>
        <v>0</v>
      </c>
    </row>
    <row r="154" spans="1:8" ht="13.5" customHeight="1" outlineLevel="1" x14ac:dyDescent="0.2">
      <c r="A154" s="127"/>
      <c r="B154" s="52" t="s">
        <v>356</v>
      </c>
      <c r="C154" s="130" t="str">
        <f t="shared" si="27"/>
        <v>×</v>
      </c>
      <c r="D154" s="67"/>
      <c r="E154" s="63"/>
      <c r="F154" s="125">
        <v>3564183</v>
      </c>
      <c r="G154" s="60">
        <f t="shared" si="28"/>
        <v>0</v>
      </c>
      <c r="H154" s="60">
        <f t="shared" si="32"/>
        <v>0</v>
      </c>
    </row>
    <row r="155" spans="1:8" ht="13.5" customHeight="1" outlineLevel="1" x14ac:dyDescent="0.2">
      <c r="A155" s="127"/>
      <c r="B155" s="52" t="s">
        <v>357</v>
      </c>
      <c r="C155" s="130" t="str">
        <f t="shared" si="27"/>
        <v>×</v>
      </c>
      <c r="D155" s="67"/>
      <c r="E155" s="63"/>
      <c r="F155" s="125">
        <v>4062872</v>
      </c>
      <c r="G155" s="60">
        <f t="shared" si="28"/>
        <v>0</v>
      </c>
      <c r="H155" s="60">
        <f t="shared" si="32"/>
        <v>0</v>
      </c>
    </row>
    <row r="156" spans="1:8" ht="13.5" customHeight="1" outlineLevel="1" x14ac:dyDescent="0.2">
      <c r="A156" s="127"/>
      <c r="B156" s="52" t="s">
        <v>358</v>
      </c>
      <c r="C156" s="130" t="str">
        <f t="shared" si="27"/>
        <v>×</v>
      </c>
      <c r="D156" s="67"/>
      <c r="E156" s="63"/>
      <c r="F156" s="125">
        <v>5777891</v>
      </c>
      <c r="G156" s="60">
        <f t="shared" si="28"/>
        <v>0</v>
      </c>
      <c r="H156" s="60">
        <f t="shared" si="32"/>
        <v>0</v>
      </c>
    </row>
    <row r="157" spans="1:8" ht="13.5" customHeight="1" outlineLevel="1" x14ac:dyDescent="0.2">
      <c r="A157" s="127"/>
      <c r="B157" s="52" t="s">
        <v>359</v>
      </c>
      <c r="C157" s="130" t="str">
        <f t="shared" si="27"/>
        <v>×</v>
      </c>
      <c r="D157" s="67"/>
      <c r="E157" s="63"/>
      <c r="F157" s="125">
        <v>6071809</v>
      </c>
      <c r="G157" s="60">
        <f t="shared" si="28"/>
        <v>0</v>
      </c>
      <c r="H157" s="60">
        <f t="shared" si="32"/>
        <v>0</v>
      </c>
    </row>
    <row r="158" spans="1:8" ht="13.5" customHeight="1" x14ac:dyDescent="0.2">
      <c r="A158" s="127" t="s">
        <v>183</v>
      </c>
      <c r="B158" s="107" t="s">
        <v>86</v>
      </c>
      <c r="C158" s="52"/>
      <c r="D158" s="60">
        <f>SUM(D159:D164)</f>
        <v>0</v>
      </c>
      <c r="E158" s="62">
        <f>SUM(E159:E164)</f>
        <v>0</v>
      </c>
      <c r="F158" s="66"/>
      <c r="G158" s="62">
        <f t="shared" ref="G158:H158" si="33">SUM(G159:G164)</f>
        <v>0</v>
      </c>
      <c r="H158" s="62">
        <f t="shared" si="33"/>
        <v>0</v>
      </c>
    </row>
    <row r="159" spans="1:8" ht="13.5" customHeight="1" outlineLevel="1" x14ac:dyDescent="0.2">
      <c r="A159" s="127"/>
      <c r="B159" s="52" t="s">
        <v>87</v>
      </c>
      <c r="C159" s="130" t="str">
        <f t="shared" si="27"/>
        <v>×</v>
      </c>
      <c r="D159" s="67"/>
      <c r="E159" s="63"/>
      <c r="F159" s="125">
        <v>168847</v>
      </c>
      <c r="G159" s="60">
        <f t="shared" si="28"/>
        <v>0</v>
      </c>
      <c r="H159" s="60">
        <f>F159*G159/1000</f>
        <v>0</v>
      </c>
    </row>
    <row r="160" spans="1:8" ht="24.75" customHeight="1" outlineLevel="1" x14ac:dyDescent="0.2">
      <c r="A160" s="127"/>
      <c r="B160" s="52" t="s">
        <v>212</v>
      </c>
      <c r="C160" s="130" t="str">
        <f t="shared" si="27"/>
        <v>×</v>
      </c>
      <c r="D160" s="67"/>
      <c r="E160" s="63"/>
      <c r="F160" s="125">
        <v>882440</v>
      </c>
      <c r="G160" s="60">
        <f t="shared" si="28"/>
        <v>0</v>
      </c>
      <c r="H160" s="60">
        <f t="shared" ref="H160:H164" si="34">F160*G160/1000</f>
        <v>0</v>
      </c>
    </row>
    <row r="161" spans="1:8" ht="24.75" customHeight="1" outlineLevel="1" x14ac:dyDescent="0.2">
      <c r="A161" s="127"/>
      <c r="B161" s="52" t="s">
        <v>365</v>
      </c>
      <c r="C161" s="130" t="str">
        <f t="shared" si="27"/>
        <v>×</v>
      </c>
      <c r="D161" s="67"/>
      <c r="E161" s="63"/>
      <c r="F161" s="125">
        <v>1772862</v>
      </c>
      <c r="G161" s="60">
        <f t="shared" si="28"/>
        <v>0</v>
      </c>
      <c r="H161" s="60">
        <f t="shared" si="34"/>
        <v>0</v>
      </c>
    </row>
    <row r="162" spans="1:8" ht="24" customHeight="1" outlineLevel="1" x14ac:dyDescent="0.2">
      <c r="A162" s="127"/>
      <c r="B162" s="52" t="s">
        <v>260</v>
      </c>
      <c r="C162" s="130" t="str">
        <f t="shared" si="27"/>
        <v>×</v>
      </c>
      <c r="D162" s="67"/>
      <c r="E162" s="63"/>
      <c r="F162" s="125">
        <v>128183</v>
      </c>
      <c r="G162" s="60">
        <f t="shared" ref="G162:G163" si="35">D162</f>
        <v>0</v>
      </c>
      <c r="H162" s="60">
        <f t="shared" ref="H162:H163" si="36">F162*G162/1000</f>
        <v>0</v>
      </c>
    </row>
    <row r="163" spans="1:8" ht="14.25" customHeight="1" outlineLevel="1" x14ac:dyDescent="0.2">
      <c r="A163" s="127"/>
      <c r="B163" s="52" t="s">
        <v>88</v>
      </c>
      <c r="C163" s="130" t="str">
        <f t="shared" si="27"/>
        <v>×</v>
      </c>
      <c r="D163" s="67"/>
      <c r="E163" s="63"/>
      <c r="F163" s="125">
        <v>1737786</v>
      </c>
      <c r="G163" s="60">
        <f t="shared" si="35"/>
        <v>0</v>
      </c>
      <c r="H163" s="60">
        <f t="shared" si="36"/>
        <v>0</v>
      </c>
    </row>
    <row r="164" spans="1:8" ht="14.25" customHeight="1" outlineLevel="1" x14ac:dyDescent="0.2">
      <c r="A164" s="127"/>
      <c r="B164" s="52" t="s">
        <v>213</v>
      </c>
      <c r="C164" s="130" t="str">
        <f t="shared" si="27"/>
        <v>×</v>
      </c>
      <c r="D164" s="67"/>
      <c r="E164" s="63"/>
      <c r="F164" s="125">
        <v>92049</v>
      </c>
      <c r="G164" s="60">
        <f t="shared" si="28"/>
        <v>0</v>
      </c>
      <c r="H164" s="60">
        <f t="shared" si="34"/>
        <v>0</v>
      </c>
    </row>
    <row r="165" spans="1:8" ht="35.25" customHeight="1" x14ac:dyDescent="0.2">
      <c r="A165" s="127" t="s">
        <v>184</v>
      </c>
      <c r="B165" s="52" t="s">
        <v>90</v>
      </c>
      <c r="C165" s="52"/>
      <c r="D165" s="60">
        <f>SUM(D166,D173,D180,D199)</f>
        <v>0</v>
      </c>
      <c r="E165" s="60">
        <f>SUM(E166,E173,E180,E199)</f>
        <v>0</v>
      </c>
      <c r="F165" s="65"/>
      <c r="G165" s="60">
        <f t="shared" ref="G165:H165" si="37">SUM(G166,G173,G180,G199)</f>
        <v>0</v>
      </c>
      <c r="H165" s="60">
        <f t="shared" si="37"/>
        <v>0</v>
      </c>
    </row>
    <row r="166" spans="1:8" ht="14.25" customHeight="1" x14ac:dyDescent="0.2">
      <c r="A166" s="127" t="s">
        <v>279</v>
      </c>
      <c r="B166" s="52" t="s">
        <v>91</v>
      </c>
      <c r="C166" s="52"/>
      <c r="D166" s="62">
        <f>SUM(D167:D172)</f>
        <v>0</v>
      </c>
      <c r="E166" s="60">
        <f>SUM(E167:E172)</f>
        <v>0</v>
      </c>
      <c r="F166" s="65"/>
      <c r="G166" s="60">
        <f t="shared" ref="G166:H166" si="38">SUM(G167:G172)</f>
        <v>0</v>
      </c>
      <c r="H166" s="60">
        <f t="shared" si="38"/>
        <v>0</v>
      </c>
    </row>
    <row r="167" spans="1:8" ht="14.25" customHeight="1" outlineLevel="1" x14ac:dyDescent="0.2">
      <c r="A167" s="127"/>
      <c r="B167" s="52" t="s">
        <v>92</v>
      </c>
      <c r="C167" s="130" t="str">
        <f t="shared" ref="C167:C213" si="39">IFERROR(E167*1000/D167,"×")</f>
        <v>×</v>
      </c>
      <c r="D167" s="67"/>
      <c r="E167" s="63"/>
      <c r="F167" s="125">
        <v>5299</v>
      </c>
      <c r="G167" s="60">
        <f t="shared" si="28"/>
        <v>0</v>
      </c>
      <c r="H167" s="60">
        <f>F167*G167/1000</f>
        <v>0</v>
      </c>
    </row>
    <row r="168" spans="1:8" ht="14.25" customHeight="1" outlineLevel="1" x14ac:dyDescent="0.2">
      <c r="A168" s="127"/>
      <c r="B168" s="52" t="s">
        <v>93</v>
      </c>
      <c r="C168" s="130" t="str">
        <f t="shared" si="39"/>
        <v>×</v>
      </c>
      <c r="D168" s="67"/>
      <c r="E168" s="63"/>
      <c r="F168" s="125">
        <v>3843</v>
      </c>
      <c r="G168" s="60">
        <f t="shared" si="28"/>
        <v>0</v>
      </c>
      <c r="H168" s="60">
        <f t="shared" ref="H168:H172" si="40">F168*G168/1000</f>
        <v>0</v>
      </c>
    </row>
    <row r="169" spans="1:8" ht="14.25" customHeight="1" outlineLevel="1" x14ac:dyDescent="0.2">
      <c r="A169" s="127"/>
      <c r="B169" s="52" t="s">
        <v>94</v>
      </c>
      <c r="C169" s="130" t="str">
        <f t="shared" si="39"/>
        <v>×</v>
      </c>
      <c r="D169" s="67"/>
      <c r="E169" s="63"/>
      <c r="F169" s="125">
        <v>3611</v>
      </c>
      <c r="G169" s="60">
        <f t="shared" si="28"/>
        <v>0</v>
      </c>
      <c r="H169" s="60">
        <f t="shared" si="40"/>
        <v>0</v>
      </c>
    </row>
    <row r="170" spans="1:8" ht="14.25" customHeight="1" outlineLevel="1" x14ac:dyDescent="0.2">
      <c r="A170" s="127"/>
      <c r="B170" s="52" t="s">
        <v>95</v>
      </c>
      <c r="C170" s="130" t="str">
        <f t="shared" si="39"/>
        <v>×</v>
      </c>
      <c r="D170" s="67"/>
      <c r="E170" s="63"/>
      <c r="F170" s="125">
        <v>2873</v>
      </c>
      <c r="G170" s="60">
        <f t="shared" si="28"/>
        <v>0</v>
      </c>
      <c r="H170" s="60">
        <f t="shared" si="40"/>
        <v>0</v>
      </c>
    </row>
    <row r="171" spans="1:8" ht="14.25" customHeight="1" outlineLevel="1" x14ac:dyDescent="0.2">
      <c r="A171" s="127"/>
      <c r="B171" s="52" t="s">
        <v>96</v>
      </c>
      <c r="C171" s="130" t="str">
        <f t="shared" si="39"/>
        <v>×</v>
      </c>
      <c r="D171" s="67"/>
      <c r="E171" s="63"/>
      <c r="F171" s="125">
        <v>1796</v>
      </c>
      <c r="G171" s="60">
        <f t="shared" si="28"/>
        <v>0</v>
      </c>
      <c r="H171" s="60">
        <f t="shared" si="40"/>
        <v>0</v>
      </c>
    </row>
    <row r="172" spans="1:8" ht="14.25" customHeight="1" outlineLevel="1" x14ac:dyDescent="0.2">
      <c r="A172" s="127"/>
      <c r="B172" s="68" t="s">
        <v>97</v>
      </c>
      <c r="C172" s="130" t="str">
        <f t="shared" si="39"/>
        <v>×</v>
      </c>
      <c r="D172" s="67"/>
      <c r="E172" s="63"/>
      <c r="F172" s="125">
        <v>1432</v>
      </c>
      <c r="G172" s="60">
        <f t="shared" si="28"/>
        <v>0</v>
      </c>
      <c r="H172" s="60">
        <f t="shared" si="40"/>
        <v>0</v>
      </c>
    </row>
    <row r="173" spans="1:8" ht="14.25" customHeight="1" x14ac:dyDescent="0.2">
      <c r="A173" s="127" t="s">
        <v>280</v>
      </c>
      <c r="B173" s="68" t="s">
        <v>98</v>
      </c>
      <c r="C173" s="52"/>
      <c r="D173" s="60">
        <f>SUM(D174:D179)</f>
        <v>0</v>
      </c>
      <c r="E173" s="60">
        <f>SUM(E174:E179)</f>
        <v>0</v>
      </c>
      <c r="F173" s="65"/>
      <c r="G173" s="60">
        <f t="shared" ref="G173:H173" si="41">SUM(G174:G179)</f>
        <v>0</v>
      </c>
      <c r="H173" s="60">
        <f t="shared" si="41"/>
        <v>0</v>
      </c>
    </row>
    <row r="174" spans="1:8" ht="14.25" customHeight="1" outlineLevel="1" x14ac:dyDescent="0.2">
      <c r="A174" s="127"/>
      <c r="B174" s="68" t="s">
        <v>92</v>
      </c>
      <c r="C174" s="130" t="str">
        <f t="shared" si="39"/>
        <v>×</v>
      </c>
      <c r="D174" s="67"/>
      <c r="E174" s="69"/>
      <c r="F174" s="125">
        <v>6319</v>
      </c>
      <c r="G174" s="60">
        <f t="shared" si="28"/>
        <v>0</v>
      </c>
      <c r="H174" s="60">
        <f>F174*G174/1000</f>
        <v>0</v>
      </c>
    </row>
    <row r="175" spans="1:8" ht="14.25" customHeight="1" outlineLevel="1" x14ac:dyDescent="0.2">
      <c r="A175" s="127"/>
      <c r="B175" s="68" t="s">
        <v>93</v>
      </c>
      <c r="C175" s="130" t="str">
        <f t="shared" si="39"/>
        <v>×</v>
      </c>
      <c r="D175" s="67"/>
      <c r="E175" s="69"/>
      <c r="F175" s="125">
        <v>4582</v>
      </c>
      <c r="G175" s="60">
        <f t="shared" si="28"/>
        <v>0</v>
      </c>
      <c r="H175" s="60">
        <f t="shared" ref="H175:H179" si="42">F175*G175/1000</f>
        <v>0</v>
      </c>
    </row>
    <row r="176" spans="1:8" ht="14.25" customHeight="1" outlineLevel="1" x14ac:dyDescent="0.2">
      <c r="A176" s="127"/>
      <c r="B176" s="68" t="s">
        <v>94</v>
      </c>
      <c r="C176" s="130" t="str">
        <f t="shared" si="39"/>
        <v>×</v>
      </c>
      <c r="D176" s="67"/>
      <c r="E176" s="69"/>
      <c r="F176" s="125">
        <v>4306</v>
      </c>
      <c r="G176" s="60">
        <f t="shared" si="28"/>
        <v>0</v>
      </c>
      <c r="H176" s="60">
        <f t="shared" si="42"/>
        <v>0</v>
      </c>
    </row>
    <row r="177" spans="1:8" ht="14.25" customHeight="1" outlineLevel="1" x14ac:dyDescent="0.2">
      <c r="A177" s="127"/>
      <c r="B177" s="68" t="s">
        <v>95</v>
      </c>
      <c r="C177" s="130" t="str">
        <f t="shared" si="39"/>
        <v>×</v>
      </c>
      <c r="D177" s="67"/>
      <c r="E177" s="69"/>
      <c r="F177" s="125">
        <v>3757</v>
      </c>
      <c r="G177" s="60">
        <f t="shared" si="28"/>
        <v>0</v>
      </c>
      <c r="H177" s="60">
        <f t="shared" si="42"/>
        <v>0</v>
      </c>
    </row>
    <row r="178" spans="1:8" ht="14.25" customHeight="1" outlineLevel="1" x14ac:dyDescent="0.2">
      <c r="A178" s="127"/>
      <c r="B178" s="68" t="s">
        <v>96</v>
      </c>
      <c r="C178" s="130" t="str">
        <f t="shared" si="39"/>
        <v>×</v>
      </c>
      <c r="D178" s="67"/>
      <c r="E178" s="69"/>
      <c r="F178" s="125">
        <v>2348</v>
      </c>
      <c r="G178" s="60">
        <f t="shared" si="28"/>
        <v>0</v>
      </c>
      <c r="H178" s="60">
        <f t="shared" si="42"/>
        <v>0</v>
      </c>
    </row>
    <row r="179" spans="1:8" ht="14.25" customHeight="1" outlineLevel="1" x14ac:dyDescent="0.2">
      <c r="A179" s="127"/>
      <c r="B179" s="68" t="s">
        <v>97</v>
      </c>
      <c r="C179" s="130" t="str">
        <f t="shared" si="39"/>
        <v>×</v>
      </c>
      <c r="D179" s="67"/>
      <c r="E179" s="69"/>
      <c r="F179" s="125">
        <v>1731</v>
      </c>
      <c r="G179" s="60">
        <f t="shared" ref="G179:G183" si="43">D179</f>
        <v>0</v>
      </c>
      <c r="H179" s="60">
        <f t="shared" si="42"/>
        <v>0</v>
      </c>
    </row>
    <row r="180" spans="1:8" ht="14.25" customHeight="1" x14ac:dyDescent="0.2">
      <c r="A180" s="127" t="s">
        <v>281</v>
      </c>
      <c r="B180" s="52" t="s">
        <v>99</v>
      </c>
      <c r="C180" s="52"/>
      <c r="D180" s="60">
        <f>SUM(D181:D198)</f>
        <v>0</v>
      </c>
      <c r="E180" s="60">
        <f>SUM(E181:E198)</f>
        <v>0</v>
      </c>
      <c r="F180" s="65"/>
      <c r="G180" s="60">
        <f t="shared" ref="G180:H180" si="44">SUM(G181:G198)</f>
        <v>0</v>
      </c>
      <c r="H180" s="60">
        <f t="shared" si="44"/>
        <v>0</v>
      </c>
    </row>
    <row r="181" spans="1:8" ht="14.25" customHeight="1" outlineLevel="1" x14ac:dyDescent="0.2">
      <c r="A181" s="127"/>
      <c r="B181" s="52" t="s">
        <v>92</v>
      </c>
      <c r="C181" s="130" t="str">
        <f t="shared" si="39"/>
        <v>×</v>
      </c>
      <c r="D181" s="67"/>
      <c r="E181" s="63"/>
      <c r="F181" s="125">
        <v>13246</v>
      </c>
      <c r="G181" s="60">
        <f t="shared" si="43"/>
        <v>0</v>
      </c>
      <c r="H181" s="60">
        <f>F181*G181/1000</f>
        <v>0</v>
      </c>
    </row>
    <row r="182" spans="1:8" ht="14.25" customHeight="1" outlineLevel="1" x14ac:dyDescent="0.2">
      <c r="A182" s="127"/>
      <c r="B182" s="52" t="s">
        <v>93</v>
      </c>
      <c r="C182" s="130" t="str">
        <f t="shared" si="39"/>
        <v>×</v>
      </c>
      <c r="D182" s="67"/>
      <c r="E182" s="63"/>
      <c r="F182" s="125">
        <v>9084</v>
      </c>
      <c r="G182" s="60">
        <f t="shared" si="43"/>
        <v>0</v>
      </c>
      <c r="H182" s="60">
        <f t="shared" ref="H182:H198" si="45">F182*G182/1000</f>
        <v>0</v>
      </c>
    </row>
    <row r="183" spans="1:8" ht="14.25" customHeight="1" outlineLevel="1" x14ac:dyDescent="0.2">
      <c r="A183" s="127"/>
      <c r="B183" s="52" t="s">
        <v>94</v>
      </c>
      <c r="C183" s="130" t="str">
        <f t="shared" si="39"/>
        <v>×</v>
      </c>
      <c r="D183" s="67"/>
      <c r="E183" s="63"/>
      <c r="F183" s="125">
        <v>7482</v>
      </c>
      <c r="G183" s="60">
        <f t="shared" si="43"/>
        <v>0</v>
      </c>
      <c r="H183" s="60">
        <f t="shared" si="45"/>
        <v>0</v>
      </c>
    </row>
    <row r="184" spans="1:8" ht="14.25" customHeight="1" outlineLevel="1" x14ac:dyDescent="0.2">
      <c r="A184" s="127"/>
      <c r="B184" s="52" t="s">
        <v>95</v>
      </c>
      <c r="C184" s="130" t="str">
        <f t="shared" si="39"/>
        <v>×</v>
      </c>
      <c r="D184" s="67"/>
      <c r="E184" s="63"/>
      <c r="F184" s="125">
        <v>6164</v>
      </c>
      <c r="G184" s="60">
        <f>D184</f>
        <v>0</v>
      </c>
      <c r="H184" s="60">
        <f t="shared" si="45"/>
        <v>0</v>
      </c>
    </row>
    <row r="185" spans="1:8" ht="14.25" customHeight="1" outlineLevel="1" x14ac:dyDescent="0.2">
      <c r="A185" s="127"/>
      <c r="B185" s="52" t="s">
        <v>96</v>
      </c>
      <c r="C185" s="130" t="str">
        <f t="shared" si="39"/>
        <v>×</v>
      </c>
      <c r="D185" s="67"/>
      <c r="E185" s="70"/>
      <c r="F185" s="125">
        <v>3561</v>
      </c>
      <c r="G185" s="60">
        <f t="shared" ref="G185:G208" si="46">D185</f>
        <v>0</v>
      </c>
      <c r="H185" s="60">
        <f t="shared" si="45"/>
        <v>0</v>
      </c>
    </row>
    <row r="186" spans="1:8" ht="14.25" customHeight="1" outlineLevel="1" x14ac:dyDescent="0.2">
      <c r="A186" s="127"/>
      <c r="B186" s="52" t="s">
        <v>97</v>
      </c>
      <c r="C186" s="130" t="str">
        <f t="shared" si="39"/>
        <v>×</v>
      </c>
      <c r="D186" s="67"/>
      <c r="E186" s="70"/>
      <c r="F186" s="125">
        <v>2839</v>
      </c>
      <c r="G186" s="60">
        <f t="shared" si="46"/>
        <v>0</v>
      </c>
      <c r="H186" s="60">
        <f t="shared" si="45"/>
        <v>0</v>
      </c>
    </row>
    <row r="187" spans="1:8" ht="14.25" customHeight="1" outlineLevel="1" x14ac:dyDescent="0.2">
      <c r="A187" s="127"/>
      <c r="B187" s="52" t="s">
        <v>100</v>
      </c>
      <c r="C187" s="130" t="str">
        <f t="shared" si="39"/>
        <v>×</v>
      </c>
      <c r="D187" s="67"/>
      <c r="E187" s="70"/>
      <c r="F187" s="125">
        <v>1926</v>
      </c>
      <c r="G187" s="60">
        <f t="shared" si="46"/>
        <v>0</v>
      </c>
      <c r="H187" s="60">
        <f t="shared" si="45"/>
        <v>0</v>
      </c>
    </row>
    <row r="188" spans="1:8" ht="14.25" customHeight="1" outlineLevel="1" x14ac:dyDescent="0.2">
      <c r="A188" s="127"/>
      <c r="B188" s="52" t="s">
        <v>101</v>
      </c>
      <c r="C188" s="130" t="str">
        <f t="shared" si="39"/>
        <v>×</v>
      </c>
      <c r="D188" s="67"/>
      <c r="E188" s="70"/>
      <c r="F188" s="125">
        <v>1500</v>
      </c>
      <c r="G188" s="60">
        <f t="shared" si="46"/>
        <v>0</v>
      </c>
      <c r="H188" s="60">
        <f t="shared" si="45"/>
        <v>0</v>
      </c>
    </row>
    <row r="189" spans="1:8" ht="14.25" customHeight="1" outlineLevel="1" x14ac:dyDescent="0.2">
      <c r="A189" s="127"/>
      <c r="B189" s="52" t="s">
        <v>218</v>
      </c>
      <c r="C189" s="130" t="str">
        <f t="shared" si="39"/>
        <v>×</v>
      </c>
      <c r="D189" s="67"/>
      <c r="E189" s="70"/>
      <c r="F189" s="125">
        <v>1277</v>
      </c>
      <c r="G189" s="60">
        <f t="shared" si="46"/>
        <v>0</v>
      </c>
      <c r="H189" s="60">
        <f t="shared" si="45"/>
        <v>0</v>
      </c>
    </row>
    <row r="190" spans="1:8" ht="14.25" customHeight="1" outlineLevel="1" x14ac:dyDescent="0.2">
      <c r="A190" s="127"/>
      <c r="B190" s="52" t="s">
        <v>102</v>
      </c>
      <c r="C190" s="130" t="str">
        <f t="shared" si="39"/>
        <v>×</v>
      </c>
      <c r="D190" s="67"/>
      <c r="E190" s="70"/>
      <c r="F190" s="125">
        <v>23985</v>
      </c>
      <c r="G190" s="60">
        <f t="shared" si="46"/>
        <v>0</v>
      </c>
      <c r="H190" s="60">
        <f t="shared" si="45"/>
        <v>0</v>
      </c>
    </row>
    <row r="191" spans="1:8" ht="14.25" customHeight="1" outlineLevel="1" x14ac:dyDescent="0.2">
      <c r="A191" s="127"/>
      <c r="B191" s="52" t="s">
        <v>103</v>
      </c>
      <c r="C191" s="130" t="str">
        <f t="shared" si="39"/>
        <v>×</v>
      </c>
      <c r="D191" s="67"/>
      <c r="E191" s="70"/>
      <c r="F191" s="125">
        <v>16449</v>
      </c>
      <c r="G191" s="60">
        <f t="shared" si="46"/>
        <v>0</v>
      </c>
      <c r="H191" s="60">
        <f t="shared" si="45"/>
        <v>0</v>
      </c>
    </row>
    <row r="192" spans="1:8" ht="14.25" customHeight="1" outlineLevel="1" x14ac:dyDescent="0.2">
      <c r="A192" s="127"/>
      <c r="B192" s="52" t="s">
        <v>104</v>
      </c>
      <c r="C192" s="130" t="str">
        <f t="shared" si="39"/>
        <v>×</v>
      </c>
      <c r="D192" s="67"/>
      <c r="E192" s="70"/>
      <c r="F192" s="125">
        <v>15182</v>
      </c>
      <c r="G192" s="60">
        <f t="shared" si="46"/>
        <v>0</v>
      </c>
      <c r="H192" s="60">
        <f t="shared" si="45"/>
        <v>0</v>
      </c>
    </row>
    <row r="193" spans="1:8" ht="14.25" customHeight="1" outlineLevel="1" x14ac:dyDescent="0.2">
      <c r="A193" s="127"/>
      <c r="B193" s="52" t="s">
        <v>105</v>
      </c>
      <c r="C193" s="130" t="str">
        <f t="shared" si="39"/>
        <v>×</v>
      </c>
      <c r="D193" s="67"/>
      <c r="E193" s="70"/>
      <c r="F193" s="125">
        <v>11161</v>
      </c>
      <c r="G193" s="60">
        <f t="shared" si="46"/>
        <v>0</v>
      </c>
      <c r="H193" s="60">
        <f t="shared" si="45"/>
        <v>0</v>
      </c>
    </row>
    <row r="194" spans="1:8" ht="14.25" customHeight="1" outlineLevel="1" x14ac:dyDescent="0.2">
      <c r="A194" s="127"/>
      <c r="B194" s="52" t="s">
        <v>106</v>
      </c>
      <c r="C194" s="130" t="str">
        <f t="shared" si="39"/>
        <v>×</v>
      </c>
      <c r="D194" s="67"/>
      <c r="E194" s="70"/>
      <c r="F194" s="125">
        <v>7865</v>
      </c>
      <c r="G194" s="60">
        <f t="shared" si="46"/>
        <v>0</v>
      </c>
      <c r="H194" s="60">
        <f t="shared" si="45"/>
        <v>0</v>
      </c>
    </row>
    <row r="195" spans="1:8" ht="14.25" customHeight="1" outlineLevel="1" x14ac:dyDescent="0.2">
      <c r="A195" s="127"/>
      <c r="B195" s="52" t="s">
        <v>107</v>
      </c>
      <c r="C195" s="130" t="str">
        <f t="shared" si="39"/>
        <v>×</v>
      </c>
      <c r="D195" s="67"/>
      <c r="E195" s="70"/>
      <c r="F195" s="125">
        <v>5384</v>
      </c>
      <c r="G195" s="60">
        <f t="shared" si="46"/>
        <v>0</v>
      </c>
      <c r="H195" s="60">
        <f t="shared" si="45"/>
        <v>0</v>
      </c>
    </row>
    <row r="196" spans="1:8" ht="14.25" customHeight="1" outlineLevel="1" x14ac:dyDescent="0.2">
      <c r="A196" s="127"/>
      <c r="B196" s="52" t="s">
        <v>108</v>
      </c>
      <c r="C196" s="130" t="str">
        <f t="shared" si="39"/>
        <v>×</v>
      </c>
      <c r="D196" s="67"/>
      <c r="E196" s="70"/>
      <c r="F196" s="125">
        <v>3488</v>
      </c>
      <c r="G196" s="60">
        <f t="shared" si="46"/>
        <v>0</v>
      </c>
      <c r="H196" s="60">
        <f t="shared" si="45"/>
        <v>0</v>
      </c>
    </row>
    <row r="197" spans="1:8" ht="14.25" customHeight="1" outlineLevel="1" x14ac:dyDescent="0.2">
      <c r="A197" s="127"/>
      <c r="B197" s="52" t="s">
        <v>109</v>
      </c>
      <c r="C197" s="130" t="str">
        <f t="shared" si="39"/>
        <v>×</v>
      </c>
      <c r="D197" s="67"/>
      <c r="E197" s="70"/>
      <c r="F197" s="125">
        <v>2716</v>
      </c>
      <c r="G197" s="60">
        <f t="shared" si="46"/>
        <v>0</v>
      </c>
      <c r="H197" s="60">
        <f t="shared" si="45"/>
        <v>0</v>
      </c>
    </row>
    <row r="198" spans="1:8" ht="14.25" customHeight="1" outlineLevel="1" x14ac:dyDescent="0.2">
      <c r="A198" s="127"/>
      <c r="B198" s="52" t="s">
        <v>110</v>
      </c>
      <c r="C198" s="130" t="str">
        <f t="shared" si="39"/>
        <v>×</v>
      </c>
      <c r="D198" s="67"/>
      <c r="E198" s="70"/>
      <c r="F198" s="125">
        <v>2312</v>
      </c>
      <c r="G198" s="60">
        <f t="shared" si="46"/>
        <v>0</v>
      </c>
      <c r="H198" s="60">
        <f t="shared" si="45"/>
        <v>0</v>
      </c>
    </row>
    <row r="199" spans="1:8" ht="14.25" customHeight="1" x14ac:dyDescent="0.2">
      <c r="A199" s="127" t="s">
        <v>282</v>
      </c>
      <c r="B199" s="52" t="s">
        <v>111</v>
      </c>
      <c r="C199" s="52"/>
      <c r="D199" s="60">
        <f>SUM(D200:D209)</f>
        <v>0</v>
      </c>
      <c r="E199" s="60">
        <f>SUM(E200:E209)</f>
        <v>0</v>
      </c>
      <c r="F199" s="57"/>
      <c r="G199" s="60">
        <f>SUM(G200:G209)</f>
        <v>0</v>
      </c>
      <c r="H199" s="60">
        <f>SUM(H200:H209)</f>
        <v>0</v>
      </c>
    </row>
    <row r="200" spans="1:8" ht="14.25" customHeight="1" outlineLevel="1" x14ac:dyDescent="0.2">
      <c r="A200" s="127"/>
      <c r="B200" s="52" t="s">
        <v>112</v>
      </c>
      <c r="C200" s="130" t="str">
        <f t="shared" si="39"/>
        <v>×</v>
      </c>
      <c r="D200" s="67"/>
      <c r="E200" s="70"/>
      <c r="F200" s="125">
        <v>15848</v>
      </c>
      <c r="G200" s="60">
        <f t="shared" si="46"/>
        <v>0</v>
      </c>
      <c r="H200" s="60">
        <f>F200*G200/1000</f>
        <v>0</v>
      </c>
    </row>
    <row r="201" spans="1:8" ht="14.25" customHeight="1" outlineLevel="1" x14ac:dyDescent="0.2">
      <c r="A201" s="127"/>
      <c r="B201" s="52" t="s">
        <v>113</v>
      </c>
      <c r="C201" s="130" t="str">
        <f t="shared" si="39"/>
        <v>×</v>
      </c>
      <c r="D201" s="67"/>
      <c r="E201" s="70"/>
      <c r="F201" s="125">
        <v>9963</v>
      </c>
      <c r="G201" s="60">
        <f t="shared" si="46"/>
        <v>0</v>
      </c>
      <c r="H201" s="60">
        <f t="shared" ref="H201:H208" si="47">F201*G201/1000</f>
        <v>0</v>
      </c>
    </row>
    <row r="202" spans="1:8" ht="14.25" customHeight="1" outlineLevel="1" x14ac:dyDescent="0.2">
      <c r="A202" s="127"/>
      <c r="B202" s="52" t="s">
        <v>114</v>
      </c>
      <c r="C202" s="130" t="str">
        <f t="shared" si="39"/>
        <v>×</v>
      </c>
      <c r="D202" s="67"/>
      <c r="E202" s="70"/>
      <c r="F202" s="125">
        <v>6622</v>
      </c>
      <c r="G202" s="60">
        <f t="shared" si="46"/>
        <v>0</v>
      </c>
      <c r="H202" s="60">
        <f t="shared" si="47"/>
        <v>0</v>
      </c>
    </row>
    <row r="203" spans="1:8" ht="14.25" customHeight="1" outlineLevel="1" x14ac:dyDescent="0.2">
      <c r="A203" s="127"/>
      <c r="B203" s="52" t="s">
        <v>115</v>
      </c>
      <c r="C203" s="130" t="str">
        <f t="shared" si="39"/>
        <v>×</v>
      </c>
      <c r="D203" s="67"/>
      <c r="E203" s="70"/>
      <c r="F203" s="125">
        <v>5768</v>
      </c>
      <c r="G203" s="60">
        <f t="shared" si="46"/>
        <v>0</v>
      </c>
      <c r="H203" s="60">
        <f t="shared" si="47"/>
        <v>0</v>
      </c>
    </row>
    <row r="204" spans="1:8" ht="14.25" customHeight="1" outlineLevel="1" x14ac:dyDescent="0.2">
      <c r="A204" s="127"/>
      <c r="B204" s="52" t="s">
        <v>215</v>
      </c>
      <c r="C204" s="130" t="str">
        <f t="shared" si="39"/>
        <v>×</v>
      </c>
      <c r="D204" s="67"/>
      <c r="E204" s="70"/>
      <c r="F204" s="125">
        <v>4779</v>
      </c>
      <c r="G204" s="60">
        <f t="shared" si="46"/>
        <v>0</v>
      </c>
      <c r="H204" s="60">
        <f t="shared" si="47"/>
        <v>0</v>
      </c>
    </row>
    <row r="205" spans="1:8" ht="14.25" customHeight="1" outlineLevel="1" x14ac:dyDescent="0.2">
      <c r="A205" s="127"/>
      <c r="B205" s="52" t="s">
        <v>116</v>
      </c>
      <c r="C205" s="130" t="str">
        <f t="shared" si="39"/>
        <v>×</v>
      </c>
      <c r="D205" s="67"/>
      <c r="E205" s="70"/>
      <c r="F205" s="125">
        <v>28698</v>
      </c>
      <c r="G205" s="60">
        <f t="shared" si="46"/>
        <v>0</v>
      </c>
      <c r="H205" s="60">
        <f t="shared" si="47"/>
        <v>0</v>
      </c>
    </row>
    <row r="206" spans="1:8" ht="14.25" customHeight="1" outlineLevel="1" x14ac:dyDescent="0.2">
      <c r="A206" s="127"/>
      <c r="B206" s="52" t="s">
        <v>117</v>
      </c>
      <c r="C206" s="130" t="str">
        <f t="shared" si="39"/>
        <v>×</v>
      </c>
      <c r="D206" s="67"/>
      <c r="E206" s="70"/>
      <c r="F206" s="125">
        <v>24489</v>
      </c>
      <c r="G206" s="60">
        <f t="shared" si="46"/>
        <v>0</v>
      </c>
      <c r="H206" s="60">
        <f t="shared" si="47"/>
        <v>0</v>
      </c>
    </row>
    <row r="207" spans="1:8" ht="14.25" customHeight="1" outlineLevel="1" x14ac:dyDescent="0.2">
      <c r="A207" s="127"/>
      <c r="B207" s="52" t="s">
        <v>118</v>
      </c>
      <c r="C207" s="130" t="str">
        <f t="shared" si="39"/>
        <v>×</v>
      </c>
      <c r="D207" s="67"/>
      <c r="E207" s="70"/>
      <c r="F207" s="125">
        <v>16276</v>
      </c>
      <c r="G207" s="60">
        <f t="shared" si="46"/>
        <v>0</v>
      </c>
      <c r="H207" s="60">
        <f t="shared" si="47"/>
        <v>0</v>
      </c>
    </row>
    <row r="208" spans="1:8" ht="14.25" customHeight="1" outlineLevel="1" x14ac:dyDescent="0.2">
      <c r="A208" s="127"/>
      <c r="B208" s="52" t="s">
        <v>119</v>
      </c>
      <c r="C208" s="130" t="str">
        <f t="shared" si="39"/>
        <v>×</v>
      </c>
      <c r="D208" s="67"/>
      <c r="E208" s="70"/>
      <c r="F208" s="125">
        <v>11213</v>
      </c>
      <c r="G208" s="60">
        <f t="shared" si="46"/>
        <v>0</v>
      </c>
      <c r="H208" s="60">
        <f t="shared" si="47"/>
        <v>0</v>
      </c>
    </row>
    <row r="209" spans="1:8" ht="13.5" customHeight="1" outlineLevel="1" x14ac:dyDescent="0.2">
      <c r="A209" s="127"/>
      <c r="B209" s="52" t="s">
        <v>120</v>
      </c>
      <c r="C209" s="130" t="str">
        <f t="shared" si="39"/>
        <v>×</v>
      </c>
      <c r="D209" s="67"/>
      <c r="E209" s="70"/>
      <c r="F209" s="125">
        <v>9291</v>
      </c>
      <c r="G209" s="60">
        <f t="shared" ref="G209" si="48">D209</f>
        <v>0</v>
      </c>
      <c r="H209" s="60">
        <f t="shared" ref="H209" si="49">F209*G209/1000</f>
        <v>0</v>
      </c>
    </row>
    <row r="210" spans="1:8" ht="24.75" customHeight="1" x14ac:dyDescent="0.2">
      <c r="A210" s="127" t="s">
        <v>283</v>
      </c>
      <c r="B210" s="106" t="s">
        <v>261</v>
      </c>
      <c r="C210" s="52"/>
      <c r="D210" s="60">
        <f>SUM(D211:D213)</f>
        <v>0</v>
      </c>
      <c r="E210" s="62">
        <f>SUM(E211:E213)</f>
        <v>0</v>
      </c>
      <c r="F210" s="66"/>
      <c r="G210" s="62">
        <f>SUM(G211:G213)</f>
        <v>0</v>
      </c>
      <c r="H210" s="62">
        <f>SUM(H211:H213)</f>
        <v>0</v>
      </c>
    </row>
    <row r="211" spans="1:8" ht="14.25" customHeight="1" outlineLevel="1" x14ac:dyDescent="0.2">
      <c r="A211" s="119"/>
      <c r="B211" s="52" t="s">
        <v>262</v>
      </c>
      <c r="C211" s="130" t="str">
        <f t="shared" si="39"/>
        <v>×</v>
      </c>
      <c r="D211" s="67"/>
      <c r="E211" s="70"/>
      <c r="F211" s="125">
        <v>20351</v>
      </c>
      <c r="G211" s="60">
        <f t="shared" ref="G211:G213" si="50">D211</f>
        <v>0</v>
      </c>
      <c r="H211" s="60">
        <f>F211*G211/1000</f>
        <v>0</v>
      </c>
    </row>
    <row r="212" spans="1:8" ht="14.25" customHeight="1" outlineLevel="1" x14ac:dyDescent="0.2">
      <c r="A212" s="119"/>
      <c r="B212" s="52" t="s">
        <v>264</v>
      </c>
      <c r="C212" s="130" t="str">
        <f t="shared" si="39"/>
        <v>×</v>
      </c>
      <c r="D212" s="67"/>
      <c r="E212" s="70"/>
      <c r="F212" s="125">
        <v>34887</v>
      </c>
      <c r="G212" s="60">
        <f t="shared" si="50"/>
        <v>0</v>
      </c>
      <c r="H212" s="60">
        <f t="shared" ref="H212:H213" si="51">F212*G212/1000</f>
        <v>0</v>
      </c>
    </row>
    <row r="213" spans="1:8" ht="14.25" customHeight="1" outlineLevel="1" x14ac:dyDescent="0.2">
      <c r="A213" s="119"/>
      <c r="B213" s="52" t="s">
        <v>263</v>
      </c>
      <c r="C213" s="130" t="str">
        <f t="shared" si="39"/>
        <v>×</v>
      </c>
      <c r="D213" s="67"/>
      <c r="E213" s="70"/>
      <c r="F213" s="125">
        <v>39248</v>
      </c>
      <c r="G213" s="60">
        <f t="shared" si="50"/>
        <v>0</v>
      </c>
      <c r="H213" s="60">
        <f t="shared" si="51"/>
        <v>0</v>
      </c>
    </row>
    <row r="214" spans="1:8" ht="15.75" customHeight="1" x14ac:dyDescent="0.2">
      <c r="A214" s="127" t="s">
        <v>200</v>
      </c>
      <c r="B214" s="52" t="s">
        <v>123</v>
      </c>
      <c r="C214" s="71"/>
      <c r="D214" s="71"/>
      <c r="E214" s="53">
        <f>E215*E216/1000</f>
        <v>0</v>
      </c>
      <c r="F214" s="72"/>
      <c r="G214" s="71"/>
      <c r="H214" s="53">
        <f>H215*H216/1000</f>
        <v>0</v>
      </c>
    </row>
    <row r="215" spans="1:8" ht="25.5" customHeight="1" x14ac:dyDescent="0.2">
      <c r="A215" s="127" t="s">
        <v>284</v>
      </c>
      <c r="B215" s="52" t="s">
        <v>251</v>
      </c>
      <c r="C215" s="71"/>
      <c r="D215" s="71"/>
      <c r="E215" s="55"/>
      <c r="F215" s="72"/>
      <c r="G215" s="71"/>
      <c r="H215" s="53">
        <f>E215</f>
        <v>0</v>
      </c>
    </row>
    <row r="216" spans="1:8" ht="85.5" customHeight="1" x14ac:dyDescent="0.2">
      <c r="A216" s="127" t="s">
        <v>285</v>
      </c>
      <c r="B216" s="52" t="s">
        <v>126</v>
      </c>
      <c r="C216" s="71"/>
      <c r="D216" s="71"/>
      <c r="E216" s="55"/>
      <c r="F216" s="72"/>
      <c r="G216" s="71"/>
      <c r="H216" s="53">
        <f>E216</f>
        <v>0</v>
      </c>
    </row>
    <row r="217" spans="1:8" ht="39" customHeight="1" x14ac:dyDescent="0.2">
      <c r="A217" s="127" t="s">
        <v>201</v>
      </c>
      <c r="B217" s="52" t="s">
        <v>128</v>
      </c>
      <c r="C217" s="71"/>
      <c r="D217" s="71"/>
      <c r="E217" s="73">
        <f>E7+E10-E214</f>
        <v>0</v>
      </c>
      <c r="F217" s="72"/>
      <c r="G217" s="71"/>
      <c r="H217" s="73">
        <f>H7+H10-H214</f>
        <v>0</v>
      </c>
    </row>
  </sheetData>
  <mergeCells count="7">
    <mergeCell ref="A113:B113"/>
    <mergeCell ref="A2:H2"/>
    <mergeCell ref="A3:A5"/>
    <mergeCell ref="B3:B5"/>
    <mergeCell ref="C3:E3"/>
    <mergeCell ref="F3:H3"/>
    <mergeCell ref="A11:B11"/>
  </mergeCells>
  <pageMargins left="0.78740157480314965" right="0.39370078740157483" top="0.39370078740157483" bottom="0.39370078740157483" header="0.31496062992125984" footer="0.31496062992125984"/>
  <pageSetup paperSize="9" scale="65" fitToHeight="999" orientation="portrait" r:id="rId1"/>
  <rowBreaks count="3" manualBreakCount="3">
    <brk id="55" max="7" man="1"/>
    <brk id="127" max="7" man="1"/>
    <brk id="20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8B713-E333-4E99-AD62-C58B79E10947}">
  <sheetPr>
    <tabColor theme="8" tint="0.59999389629810485"/>
    <pageSetUpPr fitToPage="1"/>
  </sheetPr>
  <dimension ref="A1:H204"/>
  <sheetViews>
    <sheetView view="pageBreakPreview" topLeftCell="A64" zoomScaleNormal="100" zoomScaleSheetLayoutView="100" workbookViewId="0">
      <selection activeCell="C4" sqref="C4:H4"/>
    </sheetView>
  </sheetViews>
  <sheetFormatPr defaultRowHeight="12" outlineLevelRow="2" x14ac:dyDescent="0.2"/>
  <cols>
    <col min="1" max="1" width="7.28515625" style="28" customWidth="1"/>
    <col min="2" max="2" width="46.28515625" style="28" customWidth="1"/>
    <col min="3" max="3" width="15.42578125" style="28" customWidth="1"/>
    <col min="4" max="4" width="11.7109375" style="28" customWidth="1"/>
    <col min="5" max="5" width="13.7109375" style="28" customWidth="1"/>
    <col min="6" max="6" width="16.5703125" style="28" customWidth="1"/>
    <col min="7" max="7" width="12.7109375" style="28" customWidth="1"/>
    <col min="8" max="8" width="15" style="28" customWidth="1"/>
    <col min="9" max="16384" width="9.140625" style="28"/>
  </cols>
  <sheetData>
    <row r="1" spans="1:8" x14ac:dyDescent="0.2">
      <c r="C1" s="29"/>
      <c r="D1" s="29"/>
      <c r="E1" s="29"/>
      <c r="F1" s="29"/>
      <c r="G1" s="29"/>
      <c r="H1" s="50" t="s">
        <v>186</v>
      </c>
    </row>
    <row r="2" spans="1:8" ht="27" customHeight="1" x14ac:dyDescent="0.2">
      <c r="A2" s="189" t="s">
        <v>188</v>
      </c>
      <c r="B2" s="189"/>
      <c r="C2" s="189"/>
      <c r="D2" s="189"/>
      <c r="E2" s="189"/>
      <c r="F2" s="189"/>
      <c r="G2" s="189"/>
      <c r="H2" s="189"/>
    </row>
    <row r="3" spans="1:8" ht="30" customHeight="1" x14ac:dyDescent="0.2">
      <c r="A3" s="187" t="s">
        <v>68</v>
      </c>
      <c r="B3" s="187" t="s">
        <v>11</v>
      </c>
      <c r="C3" s="187" t="s">
        <v>237</v>
      </c>
      <c r="D3" s="187"/>
      <c r="E3" s="187"/>
      <c r="F3" s="187" t="s">
        <v>238</v>
      </c>
      <c r="G3" s="187"/>
      <c r="H3" s="187"/>
    </row>
    <row r="4" spans="1:8" ht="42.75" customHeight="1" x14ac:dyDescent="0.2">
      <c r="A4" s="187"/>
      <c r="B4" s="187"/>
      <c r="C4" s="166" t="s">
        <v>69</v>
      </c>
      <c r="D4" s="119" t="s">
        <v>265</v>
      </c>
      <c r="E4" s="119" t="s">
        <v>368</v>
      </c>
      <c r="F4" s="121" t="s">
        <v>345</v>
      </c>
      <c r="G4" s="119" t="s">
        <v>265</v>
      </c>
      <c r="H4" s="119" t="s">
        <v>368</v>
      </c>
    </row>
    <row r="5" spans="1:8" ht="39" customHeight="1" x14ac:dyDescent="0.2">
      <c r="A5" s="187"/>
      <c r="B5" s="187"/>
      <c r="C5" s="119" t="s">
        <v>366</v>
      </c>
      <c r="D5" s="119" t="s">
        <v>367</v>
      </c>
      <c r="E5" s="119" t="s">
        <v>267</v>
      </c>
      <c r="F5" s="166" t="s">
        <v>366</v>
      </c>
      <c r="G5" s="119" t="s">
        <v>367</v>
      </c>
      <c r="H5" s="119" t="s">
        <v>267</v>
      </c>
    </row>
    <row r="6" spans="1:8" ht="12" customHeight="1" x14ac:dyDescent="0.2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  <c r="H6" s="126">
        <v>8</v>
      </c>
    </row>
    <row r="7" spans="1:8" ht="27" customHeight="1" x14ac:dyDescent="0.2">
      <c r="A7" s="129" t="s">
        <v>52</v>
      </c>
      <c r="B7" s="128" t="s">
        <v>259</v>
      </c>
      <c r="C7" s="57"/>
      <c r="D7" s="57"/>
      <c r="E7" s="53">
        <f>SUM(E9,E36,E53,E60,E107,E134,E151,E158)</f>
        <v>0</v>
      </c>
      <c r="F7" s="57"/>
      <c r="G7" s="57"/>
      <c r="H7" s="53">
        <f>SUM(H9,H36,H53,H60,H107,H134,H151,H158)</f>
        <v>0</v>
      </c>
    </row>
    <row r="8" spans="1:8" ht="14.1" customHeight="1" x14ac:dyDescent="0.2">
      <c r="A8" s="190" t="s">
        <v>286</v>
      </c>
      <c r="B8" s="190"/>
      <c r="C8" s="52"/>
      <c r="D8" s="52"/>
      <c r="E8" s="52"/>
      <c r="F8" s="58"/>
      <c r="G8" s="52"/>
      <c r="H8" s="52"/>
    </row>
    <row r="9" spans="1:8" ht="14.1" customHeight="1" x14ac:dyDescent="0.2">
      <c r="A9" s="127" t="s">
        <v>19</v>
      </c>
      <c r="B9" s="52" t="s">
        <v>76</v>
      </c>
      <c r="C9" s="52"/>
      <c r="D9" s="60">
        <f>SUM(D10,D23)</f>
        <v>0</v>
      </c>
      <c r="E9" s="60">
        <f>SUM(E10,E23)</f>
        <v>0</v>
      </c>
      <c r="F9" s="58"/>
      <c r="G9" s="60">
        <f>SUM(G10,G23)</f>
        <v>0</v>
      </c>
      <c r="H9" s="60">
        <f>SUM(H10,H23)</f>
        <v>0</v>
      </c>
    </row>
    <row r="10" spans="1:8" ht="14.1" customHeight="1" x14ac:dyDescent="0.2">
      <c r="A10" s="127" t="s">
        <v>288</v>
      </c>
      <c r="B10" s="52" t="s">
        <v>77</v>
      </c>
      <c r="C10" s="52"/>
      <c r="D10" s="60">
        <f>SUM(D11:D22)</f>
        <v>0</v>
      </c>
      <c r="E10" s="60">
        <f>SUM(E11:E22)</f>
        <v>0</v>
      </c>
      <c r="F10" s="58"/>
      <c r="G10" s="60">
        <f>SUM(G11:G22)</f>
        <v>0</v>
      </c>
      <c r="H10" s="60">
        <f>SUM(H11:H22)</f>
        <v>0</v>
      </c>
    </row>
    <row r="11" spans="1:8" ht="14.1" customHeight="1" outlineLevel="1" x14ac:dyDescent="0.2">
      <c r="A11" s="127"/>
      <c r="B11" s="52" t="s">
        <v>78</v>
      </c>
      <c r="C11" s="130" t="str">
        <f>IFERROR(E11*1000/D11,"×")</f>
        <v>×</v>
      </c>
      <c r="D11" s="67"/>
      <c r="E11" s="63"/>
      <c r="F11" s="125">
        <v>928059</v>
      </c>
      <c r="G11" s="60">
        <f>D11</f>
        <v>0</v>
      </c>
      <c r="H11" s="60">
        <f>F11*G11/1000</f>
        <v>0</v>
      </c>
    </row>
    <row r="12" spans="1:8" ht="14.1" customHeight="1" outlineLevel="1" x14ac:dyDescent="0.2">
      <c r="A12" s="127"/>
      <c r="B12" s="52" t="s">
        <v>202</v>
      </c>
      <c r="C12" s="130" t="str">
        <f t="shared" ref="C12:C22" si="0">IFERROR(E12*1000/D12,"×")</f>
        <v>×</v>
      </c>
      <c r="D12" s="67"/>
      <c r="E12" s="63"/>
      <c r="F12" s="125">
        <v>1084492</v>
      </c>
      <c r="G12" s="60">
        <f t="shared" ref="G12:G74" si="1">D12</f>
        <v>0</v>
      </c>
      <c r="H12" s="60">
        <f t="shared" ref="H12:H22" si="2">F12*G12/1000</f>
        <v>0</v>
      </c>
    </row>
    <row r="13" spans="1:8" ht="14.1" customHeight="1" outlineLevel="1" x14ac:dyDescent="0.2">
      <c r="A13" s="127"/>
      <c r="B13" s="52" t="s">
        <v>203</v>
      </c>
      <c r="C13" s="130" t="str">
        <f t="shared" si="0"/>
        <v>×</v>
      </c>
      <c r="D13" s="67"/>
      <c r="E13" s="63"/>
      <c r="F13" s="125">
        <v>1389153</v>
      </c>
      <c r="G13" s="60">
        <f t="shared" si="1"/>
        <v>0</v>
      </c>
      <c r="H13" s="60">
        <f t="shared" si="2"/>
        <v>0</v>
      </c>
    </row>
    <row r="14" spans="1:8" ht="14.1" customHeight="1" outlineLevel="1" x14ac:dyDescent="0.2">
      <c r="A14" s="127"/>
      <c r="B14" s="52" t="s">
        <v>79</v>
      </c>
      <c r="C14" s="130" t="str">
        <f t="shared" si="0"/>
        <v>×</v>
      </c>
      <c r="D14" s="67"/>
      <c r="E14" s="63"/>
      <c r="F14" s="125">
        <v>980269</v>
      </c>
      <c r="G14" s="60">
        <f t="shared" si="1"/>
        <v>0</v>
      </c>
      <c r="H14" s="60">
        <f t="shared" si="2"/>
        <v>0</v>
      </c>
    </row>
    <row r="15" spans="1:8" ht="14.1" customHeight="1" outlineLevel="1" x14ac:dyDescent="0.2">
      <c r="A15" s="127"/>
      <c r="B15" s="52" t="s">
        <v>204</v>
      </c>
      <c r="C15" s="130" t="str">
        <f t="shared" si="0"/>
        <v>×</v>
      </c>
      <c r="D15" s="67"/>
      <c r="E15" s="63"/>
      <c r="F15" s="125">
        <v>1273796</v>
      </c>
      <c r="G15" s="60">
        <f t="shared" si="1"/>
        <v>0</v>
      </c>
      <c r="H15" s="60">
        <f t="shared" si="2"/>
        <v>0</v>
      </c>
    </row>
    <row r="16" spans="1:8" ht="14.1" customHeight="1" outlineLevel="1" x14ac:dyDescent="0.2">
      <c r="A16" s="127"/>
      <c r="B16" s="52" t="s">
        <v>205</v>
      </c>
      <c r="C16" s="130" t="str">
        <f t="shared" si="0"/>
        <v>×</v>
      </c>
      <c r="D16" s="67"/>
      <c r="E16" s="63"/>
      <c r="F16" s="125">
        <v>1631636</v>
      </c>
      <c r="G16" s="60">
        <f t="shared" si="1"/>
        <v>0</v>
      </c>
      <c r="H16" s="60">
        <f t="shared" si="2"/>
        <v>0</v>
      </c>
    </row>
    <row r="17" spans="1:8" ht="14.1" customHeight="1" outlineLevel="1" x14ac:dyDescent="0.2">
      <c r="A17" s="127"/>
      <c r="B17" s="52" t="s">
        <v>346</v>
      </c>
      <c r="C17" s="130" t="str">
        <f t="shared" si="0"/>
        <v>×</v>
      </c>
      <c r="D17" s="67"/>
      <c r="E17" s="63"/>
      <c r="F17" s="125">
        <v>1140244</v>
      </c>
      <c r="G17" s="60">
        <f t="shared" si="1"/>
        <v>0</v>
      </c>
      <c r="H17" s="60">
        <f t="shared" si="2"/>
        <v>0</v>
      </c>
    </row>
    <row r="18" spans="1:8" ht="14.1" customHeight="1" outlineLevel="1" x14ac:dyDescent="0.2">
      <c r="A18" s="127"/>
      <c r="B18" s="52" t="s">
        <v>347</v>
      </c>
      <c r="C18" s="130" t="str">
        <f t="shared" si="0"/>
        <v>×</v>
      </c>
      <c r="D18" s="67"/>
      <c r="E18" s="63"/>
      <c r="F18" s="125">
        <v>1329505</v>
      </c>
      <c r="G18" s="60">
        <f t="shared" si="1"/>
        <v>0</v>
      </c>
      <c r="H18" s="60">
        <f t="shared" si="2"/>
        <v>0</v>
      </c>
    </row>
    <row r="19" spans="1:8" ht="14.1" customHeight="1" outlineLevel="1" x14ac:dyDescent="0.2">
      <c r="A19" s="127"/>
      <c r="B19" s="52" t="s">
        <v>348</v>
      </c>
      <c r="C19" s="130" t="str">
        <f t="shared" si="0"/>
        <v>×</v>
      </c>
      <c r="D19" s="67"/>
      <c r="E19" s="63"/>
      <c r="F19" s="125">
        <v>1702995</v>
      </c>
      <c r="G19" s="60">
        <f t="shared" si="1"/>
        <v>0</v>
      </c>
      <c r="H19" s="60">
        <f t="shared" si="2"/>
        <v>0</v>
      </c>
    </row>
    <row r="20" spans="1:8" ht="14.1" customHeight="1" outlineLevel="1" x14ac:dyDescent="0.2">
      <c r="A20" s="127"/>
      <c r="B20" s="52" t="s">
        <v>349</v>
      </c>
      <c r="C20" s="130" t="str">
        <f t="shared" si="0"/>
        <v>×</v>
      </c>
      <c r="D20" s="67"/>
      <c r="E20" s="63"/>
      <c r="F20" s="125">
        <v>1204392</v>
      </c>
      <c r="G20" s="60">
        <f t="shared" si="1"/>
        <v>0</v>
      </c>
      <c r="H20" s="60">
        <f t="shared" si="2"/>
        <v>0</v>
      </c>
    </row>
    <row r="21" spans="1:8" ht="14.1" customHeight="1" outlineLevel="1" x14ac:dyDescent="0.2">
      <c r="A21" s="127"/>
      <c r="B21" s="52" t="s">
        <v>350</v>
      </c>
      <c r="C21" s="130" t="str">
        <f t="shared" si="0"/>
        <v>×</v>
      </c>
      <c r="D21" s="67"/>
      <c r="E21" s="63"/>
      <c r="F21" s="125">
        <v>1561577</v>
      </c>
      <c r="G21" s="60">
        <f t="shared" si="1"/>
        <v>0</v>
      </c>
      <c r="H21" s="60">
        <f t="shared" si="2"/>
        <v>0</v>
      </c>
    </row>
    <row r="22" spans="1:8" ht="14.1" customHeight="1" outlineLevel="1" x14ac:dyDescent="0.2">
      <c r="A22" s="127"/>
      <c r="B22" s="52" t="s">
        <v>351</v>
      </c>
      <c r="C22" s="130" t="str">
        <f t="shared" si="0"/>
        <v>×</v>
      </c>
      <c r="D22" s="67"/>
      <c r="E22" s="63"/>
      <c r="F22" s="125">
        <v>2000262</v>
      </c>
      <c r="G22" s="60">
        <f t="shared" si="1"/>
        <v>0</v>
      </c>
      <c r="H22" s="60">
        <f t="shared" si="2"/>
        <v>0</v>
      </c>
    </row>
    <row r="23" spans="1:8" ht="14.1" customHeight="1" x14ac:dyDescent="0.2">
      <c r="A23" s="127" t="s">
        <v>289</v>
      </c>
      <c r="B23" s="52" t="s">
        <v>80</v>
      </c>
      <c r="C23" s="52"/>
      <c r="D23" s="60">
        <f>SUM(D24:D35)</f>
        <v>0</v>
      </c>
      <c r="E23" s="60">
        <f>SUM(E24:E35)</f>
        <v>0</v>
      </c>
      <c r="F23" s="109"/>
      <c r="G23" s="60">
        <f>SUM(G24:G35)</f>
        <v>0</v>
      </c>
      <c r="H23" s="60">
        <f>SUM(H24:H35)</f>
        <v>0</v>
      </c>
    </row>
    <row r="24" spans="1:8" ht="14.1" customHeight="1" outlineLevel="1" x14ac:dyDescent="0.2">
      <c r="A24" s="127"/>
      <c r="B24" s="52" t="s">
        <v>78</v>
      </c>
      <c r="C24" s="130" t="str">
        <f t="shared" ref="C24:C35" si="3">IFERROR(E24*1000/D24,"×")</f>
        <v>×</v>
      </c>
      <c r="D24" s="67"/>
      <c r="E24" s="63"/>
      <c r="F24" s="125">
        <v>977881</v>
      </c>
      <c r="G24" s="60">
        <f t="shared" si="1"/>
        <v>0</v>
      </c>
      <c r="H24" s="60">
        <f>F24*G24/1000</f>
        <v>0</v>
      </c>
    </row>
    <row r="25" spans="1:8" ht="14.1" customHeight="1" outlineLevel="1" x14ac:dyDescent="0.2">
      <c r="A25" s="127"/>
      <c r="B25" s="52" t="s">
        <v>202</v>
      </c>
      <c r="C25" s="130" t="str">
        <f t="shared" si="3"/>
        <v>×</v>
      </c>
      <c r="D25" s="67"/>
      <c r="E25" s="63"/>
      <c r="F25" s="125">
        <v>1094234</v>
      </c>
      <c r="G25" s="60">
        <f t="shared" si="1"/>
        <v>0</v>
      </c>
      <c r="H25" s="60">
        <f t="shared" ref="H25:H35" si="4">F25*G25/1000</f>
        <v>0</v>
      </c>
    </row>
    <row r="26" spans="1:8" ht="14.1" customHeight="1" outlineLevel="1" x14ac:dyDescent="0.2">
      <c r="A26" s="127"/>
      <c r="B26" s="52" t="s">
        <v>203</v>
      </c>
      <c r="C26" s="130" t="str">
        <f t="shared" si="3"/>
        <v>×</v>
      </c>
      <c r="D26" s="67"/>
      <c r="E26" s="63"/>
      <c r="F26" s="125">
        <v>1524466</v>
      </c>
      <c r="G26" s="60">
        <f t="shared" si="1"/>
        <v>0</v>
      </c>
      <c r="H26" s="60">
        <f t="shared" si="4"/>
        <v>0</v>
      </c>
    </row>
    <row r="27" spans="1:8" ht="14.1" customHeight="1" outlineLevel="1" x14ac:dyDescent="0.2">
      <c r="A27" s="127"/>
      <c r="B27" s="52" t="s">
        <v>79</v>
      </c>
      <c r="C27" s="130" t="str">
        <f t="shared" si="3"/>
        <v>×</v>
      </c>
      <c r="D27" s="67"/>
      <c r="E27" s="63"/>
      <c r="F27" s="125">
        <v>1148574</v>
      </c>
      <c r="G27" s="60">
        <f t="shared" si="1"/>
        <v>0</v>
      </c>
      <c r="H27" s="60">
        <f t="shared" si="4"/>
        <v>0</v>
      </c>
    </row>
    <row r="28" spans="1:8" ht="14.1" customHeight="1" outlineLevel="1" x14ac:dyDescent="0.2">
      <c r="A28" s="127"/>
      <c r="B28" s="52" t="s">
        <v>204</v>
      </c>
      <c r="C28" s="130" t="str">
        <f t="shared" si="3"/>
        <v>×</v>
      </c>
      <c r="D28" s="67"/>
      <c r="E28" s="63"/>
      <c r="F28" s="125">
        <v>1285238</v>
      </c>
      <c r="G28" s="60">
        <f t="shared" si="1"/>
        <v>0</v>
      </c>
      <c r="H28" s="60">
        <f t="shared" si="4"/>
        <v>0</v>
      </c>
    </row>
    <row r="29" spans="1:8" ht="14.1" customHeight="1" outlineLevel="1" x14ac:dyDescent="0.2">
      <c r="A29" s="127"/>
      <c r="B29" s="52" t="s">
        <v>205</v>
      </c>
      <c r="C29" s="130" t="str">
        <f t="shared" si="3"/>
        <v>×</v>
      </c>
      <c r="D29" s="67"/>
      <c r="E29" s="63"/>
      <c r="F29" s="125">
        <v>1790569</v>
      </c>
      <c r="G29" s="60">
        <f t="shared" si="1"/>
        <v>0</v>
      </c>
      <c r="H29" s="60">
        <f t="shared" si="4"/>
        <v>0</v>
      </c>
    </row>
    <row r="30" spans="1:8" ht="14.1" customHeight="1" outlineLevel="1" x14ac:dyDescent="0.2">
      <c r="A30" s="127"/>
      <c r="B30" s="52" t="s">
        <v>346</v>
      </c>
      <c r="C30" s="130" t="str">
        <f t="shared" si="3"/>
        <v>×</v>
      </c>
      <c r="D30" s="67"/>
      <c r="E30" s="63"/>
      <c r="F30" s="125">
        <v>1797904</v>
      </c>
      <c r="G30" s="60">
        <f t="shared" si="1"/>
        <v>0</v>
      </c>
      <c r="H30" s="60">
        <f t="shared" si="4"/>
        <v>0</v>
      </c>
    </row>
    <row r="31" spans="1:8" ht="14.1" customHeight="1" outlineLevel="1" x14ac:dyDescent="0.2">
      <c r="A31" s="127"/>
      <c r="B31" s="52" t="s">
        <v>347</v>
      </c>
      <c r="C31" s="130" t="str">
        <f t="shared" si="3"/>
        <v>×</v>
      </c>
      <c r="D31" s="67"/>
      <c r="E31" s="63"/>
      <c r="F31" s="125">
        <v>1961403</v>
      </c>
      <c r="G31" s="60">
        <f t="shared" si="1"/>
        <v>0</v>
      </c>
      <c r="H31" s="60">
        <f t="shared" si="4"/>
        <v>0</v>
      </c>
    </row>
    <row r="32" spans="1:8" ht="14.1" customHeight="1" outlineLevel="1" x14ac:dyDescent="0.2">
      <c r="A32" s="127"/>
      <c r="B32" s="52" t="s">
        <v>348</v>
      </c>
      <c r="C32" s="130" t="str">
        <f t="shared" si="3"/>
        <v>×</v>
      </c>
      <c r="D32" s="67"/>
      <c r="E32" s="63"/>
      <c r="F32" s="125">
        <v>2057005</v>
      </c>
      <c r="G32" s="60">
        <f t="shared" si="1"/>
        <v>0</v>
      </c>
      <c r="H32" s="60">
        <f t="shared" si="4"/>
        <v>0</v>
      </c>
    </row>
    <row r="33" spans="1:8" ht="14.1" customHeight="1" outlineLevel="1" x14ac:dyDescent="0.2">
      <c r="A33" s="127"/>
      <c r="B33" s="52" t="s">
        <v>349</v>
      </c>
      <c r="C33" s="130" t="str">
        <f t="shared" si="3"/>
        <v>×</v>
      </c>
      <c r="D33" s="67"/>
      <c r="E33" s="63"/>
      <c r="F33" s="125">
        <v>2111737</v>
      </c>
      <c r="G33" s="60">
        <f t="shared" si="1"/>
        <v>0</v>
      </c>
      <c r="H33" s="60">
        <f t="shared" si="4"/>
        <v>0</v>
      </c>
    </row>
    <row r="34" spans="1:8" ht="14.1" customHeight="1" outlineLevel="1" x14ac:dyDescent="0.2">
      <c r="A34" s="127"/>
      <c r="B34" s="52" t="s">
        <v>350</v>
      </c>
      <c r="C34" s="130" t="str">
        <f t="shared" si="3"/>
        <v>×</v>
      </c>
      <c r="D34" s="67"/>
      <c r="E34" s="63"/>
      <c r="F34" s="125">
        <v>2303775</v>
      </c>
      <c r="G34" s="60">
        <f t="shared" si="1"/>
        <v>0</v>
      </c>
      <c r="H34" s="60">
        <f t="shared" si="4"/>
        <v>0</v>
      </c>
    </row>
    <row r="35" spans="1:8" ht="14.1" customHeight="1" outlineLevel="1" x14ac:dyDescent="0.2">
      <c r="A35" s="127"/>
      <c r="B35" s="52" t="s">
        <v>351</v>
      </c>
      <c r="C35" s="130" t="str">
        <f t="shared" si="3"/>
        <v>×</v>
      </c>
      <c r="D35" s="67"/>
      <c r="E35" s="63"/>
      <c r="F35" s="125">
        <v>2416066</v>
      </c>
      <c r="G35" s="60">
        <f t="shared" si="1"/>
        <v>0</v>
      </c>
      <c r="H35" s="60">
        <f t="shared" si="4"/>
        <v>0</v>
      </c>
    </row>
    <row r="36" spans="1:8" ht="20.25" customHeight="1" x14ac:dyDescent="0.2">
      <c r="A36" s="127" t="s">
        <v>20</v>
      </c>
      <c r="B36" s="52" t="s">
        <v>82</v>
      </c>
      <c r="C36" s="52"/>
      <c r="D36" s="60">
        <f>SUM(D37:D52)</f>
        <v>0</v>
      </c>
      <c r="E36" s="60">
        <f>SUM(E37:E52)</f>
        <v>0</v>
      </c>
      <c r="F36" s="109"/>
      <c r="G36" s="60">
        <f>SUM(G37:G52)</f>
        <v>0</v>
      </c>
      <c r="H36" s="60">
        <f>SUM(H37:H52)</f>
        <v>0</v>
      </c>
    </row>
    <row r="37" spans="1:8" ht="14.1" customHeight="1" outlineLevel="1" x14ac:dyDescent="0.2">
      <c r="A37" s="127"/>
      <c r="B37" s="52" t="s">
        <v>83</v>
      </c>
      <c r="C37" s="130" t="str">
        <f t="shared" ref="C37:C52" si="5">IFERROR(E37*1000/D37,"×")</f>
        <v>×</v>
      </c>
      <c r="D37" s="67"/>
      <c r="E37" s="63"/>
      <c r="F37" s="125">
        <v>1537608</v>
      </c>
      <c r="G37" s="60">
        <f t="shared" si="1"/>
        <v>0</v>
      </c>
      <c r="H37" s="60">
        <f>F37*G37/1000</f>
        <v>0</v>
      </c>
    </row>
    <row r="38" spans="1:8" ht="14.1" customHeight="1" outlineLevel="1" x14ac:dyDescent="0.2">
      <c r="A38" s="127"/>
      <c r="B38" s="52" t="s">
        <v>206</v>
      </c>
      <c r="C38" s="130" t="str">
        <f t="shared" si="5"/>
        <v>×</v>
      </c>
      <c r="D38" s="67"/>
      <c r="E38" s="63"/>
      <c r="F38" s="125">
        <v>2105568</v>
      </c>
      <c r="G38" s="60">
        <f t="shared" si="1"/>
        <v>0</v>
      </c>
      <c r="H38" s="60">
        <f t="shared" ref="H38:H52" si="6">F38*G38/1000</f>
        <v>0</v>
      </c>
    </row>
    <row r="39" spans="1:8" ht="14.1" customHeight="1" outlineLevel="1" x14ac:dyDescent="0.2">
      <c r="A39" s="127"/>
      <c r="B39" s="52" t="s">
        <v>207</v>
      </c>
      <c r="C39" s="130" t="str">
        <f t="shared" si="5"/>
        <v>×</v>
      </c>
      <c r="D39" s="67"/>
      <c r="E39" s="63"/>
      <c r="F39" s="125">
        <v>2299864</v>
      </c>
      <c r="G39" s="60">
        <f t="shared" si="1"/>
        <v>0</v>
      </c>
      <c r="H39" s="60">
        <f t="shared" si="6"/>
        <v>0</v>
      </c>
    </row>
    <row r="40" spans="1:8" ht="14.1" customHeight="1" outlineLevel="1" x14ac:dyDescent="0.2">
      <c r="A40" s="127"/>
      <c r="B40" s="52" t="s">
        <v>208</v>
      </c>
      <c r="C40" s="130" t="str">
        <f t="shared" si="5"/>
        <v>×</v>
      </c>
      <c r="D40" s="67"/>
      <c r="E40" s="63"/>
      <c r="F40" s="125">
        <v>3465551</v>
      </c>
      <c r="G40" s="60">
        <f t="shared" si="1"/>
        <v>0</v>
      </c>
      <c r="H40" s="60">
        <f t="shared" si="6"/>
        <v>0</v>
      </c>
    </row>
    <row r="41" spans="1:8" ht="14.1" customHeight="1" outlineLevel="1" x14ac:dyDescent="0.2">
      <c r="A41" s="127"/>
      <c r="B41" s="52" t="s">
        <v>84</v>
      </c>
      <c r="C41" s="130" t="str">
        <f t="shared" si="5"/>
        <v>×</v>
      </c>
      <c r="D41" s="67"/>
      <c r="E41" s="63"/>
      <c r="F41" s="125">
        <v>1942382</v>
      </c>
      <c r="G41" s="60">
        <f t="shared" si="1"/>
        <v>0</v>
      </c>
      <c r="H41" s="60">
        <f t="shared" si="6"/>
        <v>0</v>
      </c>
    </row>
    <row r="42" spans="1:8" ht="14.1" customHeight="1" outlineLevel="1" x14ac:dyDescent="0.2">
      <c r="A42" s="127"/>
      <c r="B42" s="52" t="s">
        <v>209</v>
      </c>
      <c r="C42" s="130" t="str">
        <f t="shared" si="5"/>
        <v>×</v>
      </c>
      <c r="D42" s="67"/>
      <c r="E42" s="63"/>
      <c r="F42" s="125">
        <v>2846122</v>
      </c>
      <c r="G42" s="60">
        <f t="shared" si="1"/>
        <v>0</v>
      </c>
      <c r="H42" s="60">
        <f t="shared" si="6"/>
        <v>0</v>
      </c>
    </row>
    <row r="43" spans="1:8" ht="14.1" customHeight="1" outlineLevel="1" x14ac:dyDescent="0.2">
      <c r="A43" s="127"/>
      <c r="B43" s="52" t="s">
        <v>210</v>
      </c>
      <c r="C43" s="130" t="str">
        <f t="shared" si="5"/>
        <v>×</v>
      </c>
      <c r="D43" s="67"/>
      <c r="E43" s="63"/>
      <c r="F43" s="125">
        <v>3108754</v>
      </c>
      <c r="G43" s="60">
        <f t="shared" si="1"/>
        <v>0</v>
      </c>
      <c r="H43" s="60">
        <f t="shared" si="6"/>
        <v>0</v>
      </c>
    </row>
    <row r="44" spans="1:8" ht="14.1" customHeight="1" outlineLevel="1" x14ac:dyDescent="0.2">
      <c r="A44" s="127"/>
      <c r="B44" s="52" t="s">
        <v>211</v>
      </c>
      <c r="C44" s="130" t="str">
        <f t="shared" si="5"/>
        <v>×</v>
      </c>
      <c r="D44" s="67"/>
      <c r="E44" s="63"/>
      <c r="F44" s="125">
        <v>4253422</v>
      </c>
      <c r="G44" s="60">
        <f t="shared" si="1"/>
        <v>0</v>
      </c>
      <c r="H44" s="60">
        <f t="shared" si="6"/>
        <v>0</v>
      </c>
    </row>
    <row r="45" spans="1:8" ht="14.1" customHeight="1" outlineLevel="1" x14ac:dyDescent="0.2">
      <c r="A45" s="127"/>
      <c r="B45" s="52" t="s">
        <v>352</v>
      </c>
      <c r="C45" s="130" t="str">
        <f t="shared" si="5"/>
        <v>×</v>
      </c>
      <c r="D45" s="67"/>
      <c r="E45" s="63"/>
      <c r="F45" s="125">
        <v>2611563</v>
      </c>
      <c r="G45" s="60">
        <f t="shared" si="1"/>
        <v>0</v>
      </c>
      <c r="H45" s="60">
        <f t="shared" si="6"/>
        <v>0</v>
      </c>
    </row>
    <row r="46" spans="1:8" ht="14.1" customHeight="1" outlineLevel="1" x14ac:dyDescent="0.2">
      <c r="A46" s="127"/>
      <c r="B46" s="52" t="s">
        <v>353</v>
      </c>
      <c r="C46" s="130" t="str">
        <f t="shared" si="5"/>
        <v>×</v>
      </c>
      <c r="D46" s="67"/>
      <c r="E46" s="63"/>
      <c r="F46" s="125">
        <v>2932623</v>
      </c>
      <c r="G46" s="60">
        <f t="shared" si="1"/>
        <v>0</v>
      </c>
      <c r="H46" s="60">
        <f t="shared" si="6"/>
        <v>0</v>
      </c>
    </row>
    <row r="47" spans="1:8" ht="14.1" customHeight="1" outlineLevel="1" x14ac:dyDescent="0.2">
      <c r="A47" s="127"/>
      <c r="B47" s="52" t="s">
        <v>354</v>
      </c>
      <c r="C47" s="130" t="str">
        <f t="shared" si="5"/>
        <v>×</v>
      </c>
      <c r="D47" s="67"/>
      <c r="E47" s="63"/>
      <c r="F47" s="125">
        <v>2971606</v>
      </c>
      <c r="G47" s="60">
        <f t="shared" si="1"/>
        <v>0</v>
      </c>
      <c r="H47" s="60">
        <f t="shared" si="6"/>
        <v>0</v>
      </c>
    </row>
    <row r="48" spans="1:8" ht="14.1" customHeight="1" outlineLevel="1" x14ac:dyDescent="0.2">
      <c r="A48" s="127"/>
      <c r="B48" s="52" t="s">
        <v>355</v>
      </c>
      <c r="C48" s="130" t="str">
        <f t="shared" si="5"/>
        <v>×</v>
      </c>
      <c r="D48" s="67"/>
      <c r="E48" s="63"/>
      <c r="F48" s="125">
        <v>4249617</v>
      </c>
      <c r="G48" s="60">
        <f t="shared" si="1"/>
        <v>0</v>
      </c>
      <c r="H48" s="60">
        <f t="shared" si="6"/>
        <v>0</v>
      </c>
    </row>
    <row r="49" spans="1:8" ht="14.1" customHeight="1" outlineLevel="1" x14ac:dyDescent="0.2">
      <c r="A49" s="127"/>
      <c r="B49" s="52" t="s">
        <v>356</v>
      </c>
      <c r="C49" s="130" t="str">
        <f t="shared" si="5"/>
        <v>×</v>
      </c>
      <c r="D49" s="67"/>
      <c r="E49" s="63"/>
      <c r="F49" s="125">
        <v>3167917</v>
      </c>
      <c r="G49" s="60">
        <f t="shared" si="1"/>
        <v>0</v>
      </c>
      <c r="H49" s="60">
        <f t="shared" si="6"/>
        <v>0</v>
      </c>
    </row>
    <row r="50" spans="1:8" ht="14.1" customHeight="1" outlineLevel="1" x14ac:dyDescent="0.2">
      <c r="A50" s="127"/>
      <c r="B50" s="52" t="s">
        <v>357</v>
      </c>
      <c r="C50" s="130" t="str">
        <f t="shared" si="5"/>
        <v>×</v>
      </c>
      <c r="D50" s="67"/>
      <c r="E50" s="63"/>
      <c r="F50" s="125">
        <v>3611162</v>
      </c>
      <c r="G50" s="60">
        <f t="shared" si="1"/>
        <v>0</v>
      </c>
      <c r="H50" s="60">
        <f t="shared" si="6"/>
        <v>0</v>
      </c>
    </row>
    <row r="51" spans="1:8" ht="14.1" customHeight="1" outlineLevel="1" x14ac:dyDescent="0.2">
      <c r="A51" s="127"/>
      <c r="B51" s="52" t="s">
        <v>358</v>
      </c>
      <c r="C51" s="130" t="str">
        <f t="shared" si="5"/>
        <v>×</v>
      </c>
      <c r="D51" s="67"/>
      <c r="E51" s="63"/>
      <c r="F51" s="125">
        <v>5135505</v>
      </c>
      <c r="G51" s="60">
        <f t="shared" si="1"/>
        <v>0</v>
      </c>
      <c r="H51" s="60">
        <f t="shared" si="6"/>
        <v>0</v>
      </c>
    </row>
    <row r="52" spans="1:8" ht="14.1" customHeight="1" outlineLevel="1" x14ac:dyDescent="0.2">
      <c r="A52" s="127"/>
      <c r="B52" s="52" t="s">
        <v>359</v>
      </c>
      <c r="C52" s="130" t="str">
        <f t="shared" si="5"/>
        <v>×</v>
      </c>
      <c r="D52" s="67"/>
      <c r="E52" s="63"/>
      <c r="F52" s="125">
        <v>5396745</v>
      </c>
      <c r="G52" s="60">
        <f t="shared" si="1"/>
        <v>0</v>
      </c>
      <c r="H52" s="60">
        <f t="shared" si="6"/>
        <v>0</v>
      </c>
    </row>
    <row r="53" spans="1:8" ht="14.1" customHeight="1" x14ac:dyDescent="0.2">
      <c r="A53" s="127" t="s">
        <v>53</v>
      </c>
      <c r="B53" s="52" t="s">
        <v>86</v>
      </c>
      <c r="C53" s="52"/>
      <c r="D53" s="60">
        <f>SUM(D54:D59)</f>
        <v>0</v>
      </c>
      <c r="E53" s="60">
        <f>SUM(E54:E59)</f>
        <v>0</v>
      </c>
      <c r="F53" s="109"/>
      <c r="G53" s="60">
        <f>SUM(G54:G59)</f>
        <v>0</v>
      </c>
      <c r="H53" s="60">
        <f>SUM(H54:H59)</f>
        <v>0</v>
      </c>
    </row>
    <row r="54" spans="1:8" ht="14.1" customHeight="1" outlineLevel="1" x14ac:dyDescent="0.2">
      <c r="A54" s="127"/>
      <c r="B54" s="52" t="s">
        <v>87</v>
      </c>
      <c r="C54" s="130" t="str">
        <f t="shared" ref="C54:C59" si="7">IFERROR(E54*1000/D54,"×")</f>
        <v>×</v>
      </c>
      <c r="D54" s="67"/>
      <c r="E54" s="63"/>
      <c r="F54" s="125">
        <v>150074</v>
      </c>
      <c r="G54" s="60">
        <f t="shared" si="1"/>
        <v>0</v>
      </c>
      <c r="H54" s="60">
        <f>F54*G54/1000</f>
        <v>0</v>
      </c>
    </row>
    <row r="55" spans="1:8" ht="27.75" customHeight="1" outlineLevel="1" x14ac:dyDescent="0.2">
      <c r="A55" s="127"/>
      <c r="B55" s="52" t="s">
        <v>212</v>
      </c>
      <c r="C55" s="130" t="str">
        <f t="shared" si="7"/>
        <v>×</v>
      </c>
      <c r="D55" s="67"/>
      <c r="E55" s="63"/>
      <c r="F55" s="125">
        <v>784330</v>
      </c>
      <c r="G55" s="60">
        <f t="shared" si="1"/>
        <v>0</v>
      </c>
      <c r="H55" s="60">
        <f t="shared" ref="H55:H59" si="8">F55*G55/1000</f>
        <v>0</v>
      </c>
    </row>
    <row r="56" spans="1:8" ht="30.75" customHeight="1" outlineLevel="1" x14ac:dyDescent="0.2">
      <c r="A56" s="127"/>
      <c r="B56" s="52" t="s">
        <v>365</v>
      </c>
      <c r="C56" s="130" t="str">
        <f t="shared" si="7"/>
        <v>×</v>
      </c>
      <c r="D56" s="67"/>
      <c r="E56" s="63"/>
      <c r="F56" s="125">
        <v>1575755</v>
      </c>
      <c r="G56" s="60">
        <f t="shared" ref="G56:G57" si="9">D56</f>
        <v>0</v>
      </c>
      <c r="H56" s="60">
        <f t="shared" ref="H56:H57" si="10">F56*G56/1000</f>
        <v>0</v>
      </c>
    </row>
    <row r="57" spans="1:8" ht="30.75" customHeight="1" outlineLevel="1" x14ac:dyDescent="0.2">
      <c r="A57" s="127"/>
      <c r="B57" s="52" t="s">
        <v>260</v>
      </c>
      <c r="C57" s="130" t="str">
        <f t="shared" si="7"/>
        <v>×</v>
      </c>
      <c r="D57" s="67"/>
      <c r="E57" s="63"/>
      <c r="F57" s="125">
        <v>113932</v>
      </c>
      <c r="G57" s="60">
        <f t="shared" si="9"/>
        <v>0</v>
      </c>
      <c r="H57" s="60">
        <f t="shared" si="10"/>
        <v>0</v>
      </c>
    </row>
    <row r="58" spans="1:8" ht="17.25" customHeight="1" outlineLevel="1" x14ac:dyDescent="0.2">
      <c r="A58" s="127"/>
      <c r="B58" s="52" t="s">
        <v>88</v>
      </c>
      <c r="C58" s="130" t="str">
        <f t="shared" si="7"/>
        <v>×</v>
      </c>
      <c r="D58" s="67"/>
      <c r="E58" s="63"/>
      <c r="F58" s="125">
        <v>1544579</v>
      </c>
      <c r="G58" s="60">
        <f t="shared" si="1"/>
        <v>0</v>
      </c>
      <c r="H58" s="60">
        <f t="shared" si="8"/>
        <v>0</v>
      </c>
    </row>
    <row r="59" spans="1:8" ht="14.1" customHeight="1" outlineLevel="1" x14ac:dyDescent="0.2">
      <c r="A59" s="127"/>
      <c r="B59" s="52" t="s">
        <v>213</v>
      </c>
      <c r="C59" s="130" t="str">
        <f t="shared" si="7"/>
        <v>×</v>
      </c>
      <c r="D59" s="67"/>
      <c r="E59" s="63"/>
      <c r="F59" s="125">
        <v>81815</v>
      </c>
      <c r="G59" s="60">
        <f t="shared" si="1"/>
        <v>0</v>
      </c>
      <c r="H59" s="60">
        <f t="shared" si="8"/>
        <v>0</v>
      </c>
    </row>
    <row r="60" spans="1:8" ht="36.75" customHeight="1" x14ac:dyDescent="0.2">
      <c r="A60" s="127" t="s">
        <v>54</v>
      </c>
      <c r="B60" s="52" t="s">
        <v>90</v>
      </c>
      <c r="C60" s="52"/>
      <c r="D60" s="62">
        <f>SUM(D61,D68,D75,D94)</f>
        <v>0</v>
      </c>
      <c r="E60" s="62">
        <f>SUM(E61,E68,E75,E94)</f>
        <v>0</v>
      </c>
      <c r="F60" s="109"/>
      <c r="G60" s="60">
        <f>SUM(G61,G68,G75,G94)</f>
        <v>0</v>
      </c>
      <c r="H60" s="60">
        <f>SUM(H61,H68,H75,H94)</f>
        <v>0</v>
      </c>
    </row>
    <row r="61" spans="1:8" ht="12" customHeight="1" x14ac:dyDescent="0.2">
      <c r="A61" s="127" t="s">
        <v>290</v>
      </c>
      <c r="B61" s="52" t="s">
        <v>91</v>
      </c>
      <c r="C61" s="52"/>
      <c r="D61" s="62">
        <f>SUM(D62:D67)</f>
        <v>0</v>
      </c>
      <c r="E61" s="62">
        <f>SUM(E62:E67)</f>
        <v>0</v>
      </c>
      <c r="F61" s="109"/>
      <c r="G61" s="60">
        <f>SUM(G62:G66)</f>
        <v>0</v>
      </c>
      <c r="H61" s="60">
        <f>SUM(H62:H66)</f>
        <v>0</v>
      </c>
    </row>
    <row r="62" spans="1:8" ht="12" customHeight="1" outlineLevel="1" x14ac:dyDescent="0.2">
      <c r="A62" s="127"/>
      <c r="B62" s="52" t="s">
        <v>92</v>
      </c>
      <c r="C62" s="130" t="str">
        <f t="shared" ref="C62:C67" si="11">IFERROR(E62*1000/D62,"×")</f>
        <v>×</v>
      </c>
      <c r="D62" s="124"/>
      <c r="E62" s="63"/>
      <c r="F62" s="125">
        <v>4710</v>
      </c>
      <c r="G62" s="60">
        <f t="shared" si="1"/>
        <v>0</v>
      </c>
      <c r="H62" s="60">
        <f>F62*G62/1000</f>
        <v>0</v>
      </c>
    </row>
    <row r="63" spans="1:8" ht="12" customHeight="1" outlineLevel="1" x14ac:dyDescent="0.2">
      <c r="A63" s="127"/>
      <c r="B63" s="52" t="s">
        <v>93</v>
      </c>
      <c r="C63" s="130" t="str">
        <f t="shared" si="11"/>
        <v>×</v>
      </c>
      <c r="D63" s="124"/>
      <c r="E63" s="63"/>
      <c r="F63" s="125">
        <v>3415</v>
      </c>
      <c r="G63" s="60">
        <f t="shared" si="1"/>
        <v>0</v>
      </c>
      <c r="H63" s="60">
        <f t="shared" ref="H63:H67" si="12">F63*G63/1000</f>
        <v>0</v>
      </c>
    </row>
    <row r="64" spans="1:8" ht="12" customHeight="1" outlineLevel="1" x14ac:dyDescent="0.2">
      <c r="A64" s="127"/>
      <c r="B64" s="52" t="s">
        <v>94</v>
      </c>
      <c r="C64" s="130" t="str">
        <f t="shared" si="11"/>
        <v>×</v>
      </c>
      <c r="D64" s="124"/>
      <c r="E64" s="63"/>
      <c r="F64" s="125">
        <v>3210</v>
      </c>
      <c r="G64" s="60">
        <f t="shared" si="1"/>
        <v>0</v>
      </c>
      <c r="H64" s="60">
        <f t="shared" si="12"/>
        <v>0</v>
      </c>
    </row>
    <row r="65" spans="1:8" ht="12" customHeight="1" outlineLevel="1" x14ac:dyDescent="0.2">
      <c r="A65" s="127"/>
      <c r="B65" s="52" t="s">
        <v>95</v>
      </c>
      <c r="C65" s="130" t="str">
        <f t="shared" si="11"/>
        <v>×</v>
      </c>
      <c r="D65" s="124"/>
      <c r="E65" s="63"/>
      <c r="F65" s="125">
        <v>2554</v>
      </c>
      <c r="G65" s="60">
        <f t="shared" si="1"/>
        <v>0</v>
      </c>
      <c r="H65" s="60">
        <f t="shared" si="12"/>
        <v>0</v>
      </c>
    </row>
    <row r="66" spans="1:8" ht="12" customHeight="1" outlineLevel="1" x14ac:dyDescent="0.2">
      <c r="A66" s="127"/>
      <c r="B66" s="52" t="s">
        <v>96</v>
      </c>
      <c r="C66" s="130" t="str">
        <f t="shared" si="11"/>
        <v>×</v>
      </c>
      <c r="D66" s="124"/>
      <c r="E66" s="63"/>
      <c r="F66" s="125">
        <v>1596</v>
      </c>
      <c r="G66" s="60">
        <f t="shared" si="1"/>
        <v>0</v>
      </c>
      <c r="H66" s="60">
        <f t="shared" si="12"/>
        <v>0</v>
      </c>
    </row>
    <row r="67" spans="1:8" ht="12" customHeight="1" outlineLevel="1" x14ac:dyDescent="0.2">
      <c r="A67" s="127"/>
      <c r="B67" s="52" t="s">
        <v>97</v>
      </c>
      <c r="C67" s="130" t="str">
        <f t="shared" si="11"/>
        <v>×</v>
      </c>
      <c r="D67" s="124"/>
      <c r="E67" s="63"/>
      <c r="F67" s="125">
        <v>1273</v>
      </c>
      <c r="G67" s="60">
        <f t="shared" si="1"/>
        <v>0</v>
      </c>
      <c r="H67" s="60">
        <f t="shared" si="12"/>
        <v>0</v>
      </c>
    </row>
    <row r="68" spans="1:8" ht="12" customHeight="1" x14ac:dyDescent="0.2">
      <c r="A68" s="127" t="s">
        <v>291</v>
      </c>
      <c r="B68" s="52" t="s">
        <v>98</v>
      </c>
      <c r="C68" s="52"/>
      <c r="D68" s="60">
        <f>SUM(D69:D74)</f>
        <v>0</v>
      </c>
      <c r="E68" s="60">
        <f>SUM(E69:E74)</f>
        <v>0</v>
      </c>
      <c r="F68" s="109"/>
      <c r="G68" s="60">
        <f>SUM(G69:G74)</f>
        <v>0</v>
      </c>
      <c r="H68" s="60">
        <f>SUM(H69:H74)</f>
        <v>0</v>
      </c>
    </row>
    <row r="69" spans="1:8" ht="12" customHeight="1" outlineLevel="2" x14ac:dyDescent="0.2">
      <c r="A69" s="127"/>
      <c r="B69" s="52" t="s">
        <v>92</v>
      </c>
      <c r="C69" s="130" t="str">
        <f t="shared" ref="C69:C74" si="13">IFERROR(E69*1000/D69,"×")</f>
        <v>×</v>
      </c>
      <c r="D69" s="124"/>
      <c r="E69" s="63"/>
      <c r="F69" s="125">
        <v>5617</v>
      </c>
      <c r="G69" s="60">
        <f t="shared" si="1"/>
        <v>0</v>
      </c>
      <c r="H69" s="60">
        <f>F69*G69/1000</f>
        <v>0</v>
      </c>
    </row>
    <row r="70" spans="1:8" ht="12" customHeight="1" outlineLevel="2" x14ac:dyDescent="0.2">
      <c r="A70" s="127"/>
      <c r="B70" s="52" t="s">
        <v>93</v>
      </c>
      <c r="C70" s="130" t="str">
        <f t="shared" si="13"/>
        <v>×</v>
      </c>
      <c r="D70" s="124"/>
      <c r="E70" s="63"/>
      <c r="F70" s="125">
        <v>4073</v>
      </c>
      <c r="G70" s="60">
        <f t="shared" si="1"/>
        <v>0</v>
      </c>
      <c r="H70" s="60">
        <f t="shared" ref="H70:H74" si="14">F70*G70/1000</f>
        <v>0</v>
      </c>
    </row>
    <row r="71" spans="1:8" ht="12" customHeight="1" outlineLevel="2" x14ac:dyDescent="0.2">
      <c r="A71" s="127"/>
      <c r="B71" s="52" t="s">
        <v>94</v>
      </c>
      <c r="C71" s="130" t="str">
        <f t="shared" si="13"/>
        <v>×</v>
      </c>
      <c r="D71" s="124"/>
      <c r="E71" s="63"/>
      <c r="F71" s="125">
        <v>3827</v>
      </c>
      <c r="G71" s="60">
        <f t="shared" si="1"/>
        <v>0</v>
      </c>
      <c r="H71" s="60">
        <f t="shared" si="14"/>
        <v>0</v>
      </c>
    </row>
    <row r="72" spans="1:8" ht="12" customHeight="1" outlineLevel="2" x14ac:dyDescent="0.2">
      <c r="A72" s="127"/>
      <c r="B72" s="52" t="s">
        <v>95</v>
      </c>
      <c r="C72" s="130" t="str">
        <f t="shared" si="13"/>
        <v>×</v>
      </c>
      <c r="D72" s="124"/>
      <c r="E72" s="63"/>
      <c r="F72" s="125">
        <v>3339</v>
      </c>
      <c r="G72" s="60">
        <f t="shared" si="1"/>
        <v>0</v>
      </c>
      <c r="H72" s="60">
        <f t="shared" si="14"/>
        <v>0</v>
      </c>
    </row>
    <row r="73" spans="1:8" ht="12" customHeight="1" outlineLevel="2" x14ac:dyDescent="0.2">
      <c r="A73" s="127"/>
      <c r="B73" s="52" t="s">
        <v>96</v>
      </c>
      <c r="C73" s="130" t="str">
        <f t="shared" si="13"/>
        <v>×</v>
      </c>
      <c r="D73" s="124"/>
      <c r="E73" s="63"/>
      <c r="F73" s="125">
        <v>2087</v>
      </c>
      <c r="G73" s="60">
        <f t="shared" si="1"/>
        <v>0</v>
      </c>
      <c r="H73" s="60">
        <f t="shared" si="14"/>
        <v>0</v>
      </c>
    </row>
    <row r="74" spans="1:8" ht="12" customHeight="1" outlineLevel="2" x14ac:dyDescent="0.2">
      <c r="A74" s="127"/>
      <c r="B74" s="52" t="s">
        <v>97</v>
      </c>
      <c r="C74" s="130" t="str">
        <f t="shared" si="13"/>
        <v>×</v>
      </c>
      <c r="D74" s="124"/>
      <c r="E74" s="63"/>
      <c r="F74" s="125">
        <v>1538</v>
      </c>
      <c r="G74" s="60">
        <f t="shared" si="1"/>
        <v>0</v>
      </c>
      <c r="H74" s="60">
        <f t="shared" si="14"/>
        <v>0</v>
      </c>
    </row>
    <row r="75" spans="1:8" ht="12" customHeight="1" x14ac:dyDescent="0.2">
      <c r="A75" s="127" t="s">
        <v>292</v>
      </c>
      <c r="B75" s="52" t="s">
        <v>99</v>
      </c>
      <c r="C75" s="52"/>
      <c r="D75" s="60">
        <f>SUM(D76:D93)</f>
        <v>0</v>
      </c>
      <c r="E75" s="60">
        <f>SUM(E76:E93)</f>
        <v>0</v>
      </c>
      <c r="F75" s="109"/>
      <c r="G75" s="60">
        <f>SUM(G76:G93)</f>
        <v>0</v>
      </c>
      <c r="H75" s="60">
        <f>SUM(H76:H93)</f>
        <v>0</v>
      </c>
    </row>
    <row r="76" spans="1:8" ht="12" customHeight="1" outlineLevel="1" x14ac:dyDescent="0.2">
      <c r="A76" s="127"/>
      <c r="B76" s="52" t="s">
        <v>92</v>
      </c>
      <c r="C76" s="130" t="str">
        <f t="shared" ref="C76:C93" si="15">IFERROR(E76*1000/D76,"×")</f>
        <v>×</v>
      </c>
      <c r="D76" s="67"/>
      <c r="E76" s="63"/>
      <c r="F76" s="125">
        <v>11773</v>
      </c>
      <c r="G76" s="60">
        <f>D76</f>
        <v>0</v>
      </c>
      <c r="H76" s="60">
        <f>F76*G76/1000</f>
        <v>0</v>
      </c>
    </row>
    <row r="77" spans="1:8" ht="12" customHeight="1" outlineLevel="1" x14ac:dyDescent="0.2">
      <c r="A77" s="127"/>
      <c r="B77" s="52" t="s">
        <v>93</v>
      </c>
      <c r="C77" s="130" t="str">
        <f t="shared" si="15"/>
        <v>×</v>
      </c>
      <c r="D77" s="67"/>
      <c r="E77" s="63"/>
      <c r="F77" s="125">
        <v>8074</v>
      </c>
      <c r="G77" s="60">
        <f t="shared" ref="G77:G95" si="16">D77</f>
        <v>0</v>
      </c>
      <c r="H77" s="60">
        <f t="shared" ref="H77:H93" si="17">F77*G77/1000</f>
        <v>0</v>
      </c>
    </row>
    <row r="78" spans="1:8" ht="12" customHeight="1" outlineLevel="1" x14ac:dyDescent="0.2">
      <c r="A78" s="127"/>
      <c r="B78" s="52" t="s">
        <v>94</v>
      </c>
      <c r="C78" s="130" t="str">
        <f t="shared" si="15"/>
        <v>×</v>
      </c>
      <c r="D78" s="67"/>
      <c r="E78" s="63"/>
      <c r="F78" s="125">
        <v>7452</v>
      </c>
      <c r="G78" s="60">
        <f t="shared" si="16"/>
        <v>0</v>
      </c>
      <c r="H78" s="60">
        <f t="shared" si="17"/>
        <v>0</v>
      </c>
    </row>
    <row r="79" spans="1:8" ht="12" customHeight="1" outlineLevel="1" x14ac:dyDescent="0.2">
      <c r="A79" s="127"/>
      <c r="B79" s="52" t="s">
        <v>95</v>
      </c>
      <c r="C79" s="130" t="str">
        <f t="shared" si="15"/>
        <v>×</v>
      </c>
      <c r="D79" s="67"/>
      <c r="E79" s="63"/>
      <c r="F79" s="125">
        <v>5478</v>
      </c>
      <c r="G79" s="60">
        <f t="shared" si="16"/>
        <v>0</v>
      </c>
      <c r="H79" s="60">
        <f t="shared" si="17"/>
        <v>0</v>
      </c>
    </row>
    <row r="80" spans="1:8" ht="12" customHeight="1" outlineLevel="1" x14ac:dyDescent="0.2">
      <c r="A80" s="127"/>
      <c r="B80" s="52" t="s">
        <v>96</v>
      </c>
      <c r="C80" s="130" t="str">
        <f t="shared" si="15"/>
        <v>×</v>
      </c>
      <c r="D80" s="67"/>
      <c r="E80" s="70"/>
      <c r="F80" s="125">
        <v>3165</v>
      </c>
      <c r="G80" s="60">
        <f t="shared" si="16"/>
        <v>0</v>
      </c>
      <c r="H80" s="60">
        <f t="shared" si="17"/>
        <v>0</v>
      </c>
    </row>
    <row r="81" spans="1:8" ht="12" customHeight="1" outlineLevel="1" x14ac:dyDescent="0.2">
      <c r="A81" s="127"/>
      <c r="B81" s="52" t="s">
        <v>97</v>
      </c>
      <c r="C81" s="130" t="str">
        <f t="shared" si="15"/>
        <v>×</v>
      </c>
      <c r="D81" s="67"/>
      <c r="E81" s="70"/>
      <c r="F81" s="125">
        <v>2524</v>
      </c>
      <c r="G81" s="60">
        <f t="shared" si="16"/>
        <v>0</v>
      </c>
      <c r="H81" s="60">
        <f t="shared" si="17"/>
        <v>0</v>
      </c>
    </row>
    <row r="82" spans="1:8" ht="12" customHeight="1" outlineLevel="1" x14ac:dyDescent="0.2">
      <c r="A82" s="127"/>
      <c r="B82" s="52" t="s">
        <v>100</v>
      </c>
      <c r="C82" s="130" t="str">
        <f t="shared" si="15"/>
        <v>×</v>
      </c>
      <c r="D82" s="67"/>
      <c r="E82" s="70"/>
      <c r="F82" s="125">
        <v>1712</v>
      </c>
      <c r="G82" s="60">
        <f t="shared" si="16"/>
        <v>0</v>
      </c>
      <c r="H82" s="60">
        <f t="shared" si="17"/>
        <v>0</v>
      </c>
    </row>
    <row r="83" spans="1:8" ht="12" customHeight="1" outlineLevel="1" x14ac:dyDescent="0.2">
      <c r="A83" s="127"/>
      <c r="B83" s="52" t="s">
        <v>101</v>
      </c>
      <c r="C83" s="130" t="str">
        <f t="shared" si="15"/>
        <v>×</v>
      </c>
      <c r="D83" s="67"/>
      <c r="E83" s="70"/>
      <c r="F83" s="125">
        <v>1333</v>
      </c>
      <c r="G83" s="60">
        <f t="shared" si="16"/>
        <v>0</v>
      </c>
      <c r="H83" s="60">
        <f t="shared" si="17"/>
        <v>0</v>
      </c>
    </row>
    <row r="84" spans="1:8" ht="12" customHeight="1" outlineLevel="1" x14ac:dyDescent="0.2">
      <c r="A84" s="127"/>
      <c r="B84" s="52" t="s">
        <v>216</v>
      </c>
      <c r="C84" s="130" t="str">
        <f t="shared" si="15"/>
        <v>×</v>
      </c>
      <c r="D84" s="67"/>
      <c r="E84" s="70"/>
      <c r="F84" s="125">
        <v>1135</v>
      </c>
      <c r="G84" s="60">
        <f t="shared" si="16"/>
        <v>0</v>
      </c>
      <c r="H84" s="60">
        <f t="shared" si="17"/>
        <v>0</v>
      </c>
    </row>
    <row r="85" spans="1:8" ht="12" customHeight="1" outlineLevel="1" x14ac:dyDescent="0.2">
      <c r="A85" s="127"/>
      <c r="B85" s="52" t="s">
        <v>102</v>
      </c>
      <c r="C85" s="130" t="str">
        <f t="shared" si="15"/>
        <v>×</v>
      </c>
      <c r="D85" s="67"/>
      <c r="E85" s="70"/>
      <c r="F85" s="125">
        <v>21319</v>
      </c>
      <c r="G85" s="60">
        <f t="shared" si="16"/>
        <v>0</v>
      </c>
      <c r="H85" s="60">
        <f t="shared" si="17"/>
        <v>0</v>
      </c>
    </row>
    <row r="86" spans="1:8" ht="12" customHeight="1" outlineLevel="1" x14ac:dyDescent="0.2">
      <c r="A86" s="127"/>
      <c r="B86" s="52" t="s">
        <v>103</v>
      </c>
      <c r="C86" s="130" t="str">
        <f t="shared" si="15"/>
        <v>×</v>
      </c>
      <c r="D86" s="67"/>
      <c r="E86" s="70"/>
      <c r="F86" s="125">
        <v>14620</v>
      </c>
      <c r="G86" s="60">
        <f t="shared" si="16"/>
        <v>0</v>
      </c>
      <c r="H86" s="60">
        <f t="shared" si="17"/>
        <v>0</v>
      </c>
    </row>
    <row r="87" spans="1:8" ht="12" customHeight="1" outlineLevel="1" x14ac:dyDescent="0.2">
      <c r="A87" s="127"/>
      <c r="B87" s="52" t="s">
        <v>104</v>
      </c>
      <c r="C87" s="130" t="str">
        <f t="shared" si="15"/>
        <v>×</v>
      </c>
      <c r="D87" s="67"/>
      <c r="E87" s="70"/>
      <c r="F87" s="125">
        <v>13494</v>
      </c>
      <c r="G87" s="60">
        <f t="shared" si="16"/>
        <v>0</v>
      </c>
      <c r="H87" s="60">
        <f t="shared" si="17"/>
        <v>0</v>
      </c>
    </row>
    <row r="88" spans="1:8" ht="12" customHeight="1" outlineLevel="1" x14ac:dyDescent="0.2">
      <c r="A88" s="127"/>
      <c r="B88" s="52" t="s">
        <v>105</v>
      </c>
      <c r="C88" s="130" t="str">
        <f t="shared" si="15"/>
        <v>×</v>
      </c>
      <c r="D88" s="67"/>
      <c r="E88" s="70"/>
      <c r="F88" s="125">
        <v>9920</v>
      </c>
      <c r="G88" s="60">
        <f t="shared" si="16"/>
        <v>0</v>
      </c>
      <c r="H88" s="60">
        <f t="shared" si="17"/>
        <v>0</v>
      </c>
    </row>
    <row r="89" spans="1:8" ht="12" customHeight="1" outlineLevel="1" x14ac:dyDescent="0.2">
      <c r="A89" s="127"/>
      <c r="B89" s="52" t="s">
        <v>106</v>
      </c>
      <c r="C89" s="130" t="str">
        <f t="shared" si="15"/>
        <v>×</v>
      </c>
      <c r="D89" s="67"/>
      <c r="E89" s="70"/>
      <c r="F89" s="125">
        <v>6991</v>
      </c>
      <c r="G89" s="60">
        <f t="shared" si="16"/>
        <v>0</v>
      </c>
      <c r="H89" s="60">
        <f t="shared" si="17"/>
        <v>0</v>
      </c>
    </row>
    <row r="90" spans="1:8" ht="12" customHeight="1" outlineLevel="1" x14ac:dyDescent="0.2">
      <c r="A90" s="127"/>
      <c r="B90" s="52" t="s">
        <v>107</v>
      </c>
      <c r="C90" s="130" t="str">
        <f t="shared" si="15"/>
        <v>×</v>
      </c>
      <c r="D90" s="67"/>
      <c r="E90" s="70"/>
      <c r="F90" s="125">
        <v>4785</v>
      </c>
      <c r="G90" s="60">
        <f t="shared" si="16"/>
        <v>0</v>
      </c>
      <c r="H90" s="60">
        <f t="shared" si="17"/>
        <v>0</v>
      </c>
    </row>
    <row r="91" spans="1:8" ht="12" customHeight="1" outlineLevel="1" x14ac:dyDescent="0.2">
      <c r="A91" s="127"/>
      <c r="B91" s="52" t="s">
        <v>108</v>
      </c>
      <c r="C91" s="130" t="str">
        <f t="shared" si="15"/>
        <v>×</v>
      </c>
      <c r="D91" s="67"/>
      <c r="E91" s="70"/>
      <c r="F91" s="125">
        <v>3100</v>
      </c>
      <c r="G91" s="60">
        <f t="shared" si="16"/>
        <v>0</v>
      </c>
      <c r="H91" s="60">
        <f t="shared" si="17"/>
        <v>0</v>
      </c>
    </row>
    <row r="92" spans="1:8" ht="12" customHeight="1" outlineLevel="1" x14ac:dyDescent="0.2">
      <c r="A92" s="127"/>
      <c r="B92" s="52" t="s">
        <v>109</v>
      </c>
      <c r="C92" s="130" t="str">
        <f t="shared" si="15"/>
        <v>×</v>
      </c>
      <c r="D92" s="67"/>
      <c r="E92" s="70"/>
      <c r="F92" s="125">
        <v>2414</v>
      </c>
      <c r="G92" s="60">
        <f t="shared" si="16"/>
        <v>0</v>
      </c>
      <c r="H92" s="60">
        <f t="shared" si="17"/>
        <v>0</v>
      </c>
    </row>
    <row r="93" spans="1:8" ht="12" customHeight="1" outlineLevel="1" x14ac:dyDescent="0.2">
      <c r="A93" s="127"/>
      <c r="B93" s="52" t="s">
        <v>110</v>
      </c>
      <c r="C93" s="130" t="str">
        <f t="shared" si="15"/>
        <v>×</v>
      </c>
      <c r="D93" s="67"/>
      <c r="E93" s="70"/>
      <c r="F93" s="125">
        <v>2055</v>
      </c>
      <c r="G93" s="60">
        <f t="shared" si="16"/>
        <v>0</v>
      </c>
      <c r="H93" s="60">
        <f t="shared" si="17"/>
        <v>0</v>
      </c>
    </row>
    <row r="94" spans="1:8" x14ac:dyDescent="0.2">
      <c r="A94" s="127" t="s">
        <v>293</v>
      </c>
      <c r="B94" s="52" t="s">
        <v>111</v>
      </c>
      <c r="C94" s="52"/>
      <c r="D94" s="60">
        <f>SUM(D95:D105)</f>
        <v>0</v>
      </c>
      <c r="E94" s="60">
        <f>SUM(E95:E105)</f>
        <v>0</v>
      </c>
      <c r="F94" s="108"/>
      <c r="G94" s="60">
        <f>SUM(G95:G105)</f>
        <v>0</v>
      </c>
      <c r="H94" s="60">
        <f>SUM(H95:H105)</f>
        <v>0</v>
      </c>
    </row>
    <row r="95" spans="1:8" ht="14.25" customHeight="1" outlineLevel="1" x14ac:dyDescent="0.2">
      <c r="A95" s="127"/>
      <c r="B95" s="52" t="s">
        <v>112</v>
      </c>
      <c r="C95" s="130" t="str">
        <f>IFERROR(E95*1000/D95,"×")</f>
        <v>×</v>
      </c>
      <c r="D95" s="67"/>
      <c r="E95" s="70"/>
      <c r="F95" s="125">
        <v>14086</v>
      </c>
      <c r="G95" s="60">
        <f t="shared" si="16"/>
        <v>0</v>
      </c>
      <c r="H95" s="60">
        <f>F95*G95/1000</f>
        <v>0</v>
      </c>
    </row>
    <row r="96" spans="1:8" ht="18.75" customHeight="1" outlineLevel="1" x14ac:dyDescent="0.2">
      <c r="A96" s="127"/>
      <c r="B96" s="52" t="s">
        <v>113</v>
      </c>
      <c r="C96" s="130" t="str">
        <f t="shared" ref="C96:C105" si="18">IFERROR(E96*1000/D96,"×")</f>
        <v>×</v>
      </c>
      <c r="D96" s="67"/>
      <c r="E96" s="70"/>
      <c r="F96" s="125">
        <v>8856</v>
      </c>
      <c r="G96" s="53">
        <f>SUM(G97:G97)</f>
        <v>0</v>
      </c>
      <c r="H96" s="60">
        <f t="shared" ref="H96:H105" si="19">F96*G96/1000</f>
        <v>0</v>
      </c>
    </row>
    <row r="97" spans="1:8" outlineLevel="1" x14ac:dyDescent="0.2">
      <c r="A97" s="127"/>
      <c r="B97" s="52" t="s">
        <v>114</v>
      </c>
      <c r="C97" s="130" t="str">
        <f t="shared" si="18"/>
        <v>×</v>
      </c>
      <c r="D97" s="67"/>
      <c r="E97" s="70"/>
      <c r="F97" s="125">
        <v>5886</v>
      </c>
      <c r="G97" s="53">
        <f>D97</f>
        <v>0</v>
      </c>
      <c r="H97" s="60">
        <f t="shared" si="19"/>
        <v>0</v>
      </c>
    </row>
    <row r="98" spans="1:8" outlineLevel="1" x14ac:dyDescent="0.2">
      <c r="A98" s="127"/>
      <c r="B98" s="52" t="s">
        <v>115</v>
      </c>
      <c r="C98" s="130" t="str">
        <f t="shared" si="18"/>
        <v>×</v>
      </c>
      <c r="D98" s="67"/>
      <c r="E98" s="70"/>
      <c r="F98" s="125">
        <v>5127</v>
      </c>
      <c r="G98" s="53">
        <f>SUM(G99:G105)</f>
        <v>0</v>
      </c>
      <c r="H98" s="60">
        <f t="shared" si="19"/>
        <v>0</v>
      </c>
    </row>
    <row r="99" spans="1:8" outlineLevel="1" x14ac:dyDescent="0.2">
      <c r="A99" s="127"/>
      <c r="B99" s="52" t="s">
        <v>215</v>
      </c>
      <c r="C99" s="130" t="str">
        <f t="shared" si="18"/>
        <v>×</v>
      </c>
      <c r="D99" s="67"/>
      <c r="E99" s="70"/>
      <c r="F99" s="125">
        <v>4248</v>
      </c>
      <c r="G99" s="53">
        <f>D99</f>
        <v>0</v>
      </c>
      <c r="H99" s="60">
        <f t="shared" si="19"/>
        <v>0</v>
      </c>
    </row>
    <row r="100" spans="1:8" outlineLevel="1" x14ac:dyDescent="0.2">
      <c r="A100" s="127"/>
      <c r="B100" s="52" t="s">
        <v>116</v>
      </c>
      <c r="C100" s="130" t="str">
        <f t="shared" si="18"/>
        <v>×</v>
      </c>
      <c r="D100" s="67"/>
      <c r="E100" s="70"/>
      <c r="F100" s="125">
        <v>25507</v>
      </c>
      <c r="G100" s="53">
        <f t="shared" ref="G100:G105" si="20">D100</f>
        <v>0</v>
      </c>
      <c r="H100" s="60">
        <f t="shared" si="19"/>
        <v>0</v>
      </c>
    </row>
    <row r="101" spans="1:8" outlineLevel="1" x14ac:dyDescent="0.2">
      <c r="A101" s="127"/>
      <c r="B101" s="52" t="s">
        <v>117</v>
      </c>
      <c r="C101" s="130" t="str">
        <f t="shared" si="18"/>
        <v>×</v>
      </c>
      <c r="D101" s="67"/>
      <c r="E101" s="70"/>
      <c r="F101" s="125">
        <v>21766</v>
      </c>
      <c r="G101" s="53">
        <f t="shared" si="20"/>
        <v>0</v>
      </c>
      <c r="H101" s="60">
        <f t="shared" si="19"/>
        <v>0</v>
      </c>
    </row>
    <row r="102" spans="1:8" outlineLevel="1" x14ac:dyDescent="0.2">
      <c r="A102" s="127"/>
      <c r="B102" s="52" t="s">
        <v>118</v>
      </c>
      <c r="C102" s="130" t="str">
        <f t="shared" si="18"/>
        <v>×</v>
      </c>
      <c r="D102" s="67"/>
      <c r="E102" s="70"/>
      <c r="F102" s="125">
        <v>14467</v>
      </c>
      <c r="G102" s="53">
        <f t="shared" si="20"/>
        <v>0</v>
      </c>
      <c r="H102" s="60">
        <f t="shared" si="19"/>
        <v>0</v>
      </c>
    </row>
    <row r="103" spans="1:8" outlineLevel="1" x14ac:dyDescent="0.2">
      <c r="A103" s="127"/>
      <c r="B103" s="52" t="s">
        <v>119</v>
      </c>
      <c r="C103" s="130" t="str">
        <f t="shared" si="18"/>
        <v>×</v>
      </c>
      <c r="D103" s="67"/>
      <c r="E103" s="70"/>
      <c r="F103" s="125">
        <v>9967</v>
      </c>
      <c r="G103" s="53">
        <f t="shared" si="20"/>
        <v>0</v>
      </c>
      <c r="H103" s="60">
        <f t="shared" si="19"/>
        <v>0</v>
      </c>
    </row>
    <row r="104" spans="1:8" outlineLevel="1" x14ac:dyDescent="0.2">
      <c r="A104" s="127"/>
      <c r="B104" s="52" t="s">
        <v>120</v>
      </c>
      <c r="C104" s="130" t="str">
        <f t="shared" si="18"/>
        <v>×</v>
      </c>
      <c r="D104" s="67"/>
      <c r="E104" s="70"/>
      <c r="F104" s="125">
        <v>8258</v>
      </c>
      <c r="G104" s="53">
        <f t="shared" ref="G104" si="21">D104</f>
        <v>0</v>
      </c>
      <c r="H104" s="60">
        <f t="shared" ref="H104" si="22">F104*G104/1000</f>
        <v>0</v>
      </c>
    </row>
    <row r="105" spans="1:8" outlineLevel="1" x14ac:dyDescent="0.2">
      <c r="A105" s="127"/>
      <c r="B105" s="52" t="s">
        <v>214</v>
      </c>
      <c r="C105" s="130" t="str">
        <f t="shared" si="18"/>
        <v>×</v>
      </c>
      <c r="D105" s="67"/>
      <c r="E105" s="70"/>
      <c r="F105" s="125">
        <v>13259</v>
      </c>
      <c r="G105" s="53">
        <f t="shared" si="20"/>
        <v>0</v>
      </c>
      <c r="H105" s="60">
        <f t="shared" si="19"/>
        <v>0</v>
      </c>
    </row>
    <row r="106" spans="1:8" ht="12" customHeight="1" x14ac:dyDescent="0.2">
      <c r="A106" s="187" t="s">
        <v>287</v>
      </c>
      <c r="B106" s="187"/>
      <c r="C106" s="52"/>
      <c r="D106" s="52"/>
      <c r="E106" s="52"/>
      <c r="F106" s="109"/>
      <c r="G106" s="52"/>
      <c r="H106" s="52"/>
    </row>
    <row r="107" spans="1:8" x14ac:dyDescent="0.2">
      <c r="A107" s="127" t="s">
        <v>178</v>
      </c>
      <c r="B107" s="52" t="s">
        <v>76</v>
      </c>
      <c r="C107" s="71"/>
      <c r="D107" s="53">
        <f>SUM(D108,D121)</f>
        <v>0</v>
      </c>
      <c r="E107" s="53">
        <f>SUM(E108,E121)</f>
        <v>0</v>
      </c>
      <c r="F107" s="108"/>
      <c r="G107" s="53">
        <f>SUM(G108,G121)</f>
        <v>0</v>
      </c>
      <c r="H107" s="53">
        <f>SUM(H108,H121)</f>
        <v>0</v>
      </c>
    </row>
    <row r="108" spans="1:8" x14ac:dyDescent="0.2">
      <c r="A108" s="127" t="s">
        <v>294</v>
      </c>
      <c r="B108" s="52" t="s">
        <v>77</v>
      </c>
      <c r="C108" s="57"/>
      <c r="D108" s="74">
        <f>SUM(D109:D120)</f>
        <v>0</v>
      </c>
      <c r="E108" s="74">
        <f>SUM(E109:E120)</f>
        <v>0</v>
      </c>
      <c r="F108" s="108"/>
      <c r="G108" s="53">
        <f>SUM(G109:G120)</f>
        <v>0</v>
      </c>
      <c r="H108" s="53">
        <f>SUM(H109:H120)</f>
        <v>0</v>
      </c>
    </row>
    <row r="109" spans="1:8" outlineLevel="1" x14ac:dyDescent="0.2">
      <c r="A109" s="127"/>
      <c r="B109" s="52" t="s">
        <v>78</v>
      </c>
      <c r="C109" s="130" t="str">
        <f t="shared" ref="C109:C120" si="23">IFERROR(E109*1000/D109,"×")</f>
        <v>×</v>
      </c>
      <c r="D109" s="70"/>
      <c r="E109" s="55"/>
      <c r="F109" s="125">
        <v>1044147</v>
      </c>
      <c r="G109" s="53">
        <f t="shared" ref="G109:G170" si="24">D109</f>
        <v>0</v>
      </c>
      <c r="H109" s="53">
        <f>F109*G109/1000</f>
        <v>0</v>
      </c>
    </row>
    <row r="110" spans="1:8" outlineLevel="1" x14ac:dyDescent="0.2">
      <c r="A110" s="127"/>
      <c r="B110" s="52" t="s">
        <v>202</v>
      </c>
      <c r="C110" s="130" t="str">
        <f t="shared" si="23"/>
        <v>×</v>
      </c>
      <c r="D110" s="70"/>
      <c r="E110" s="55"/>
      <c r="F110" s="125">
        <v>1220149</v>
      </c>
      <c r="G110" s="53">
        <f t="shared" si="24"/>
        <v>0</v>
      </c>
      <c r="H110" s="53">
        <f t="shared" ref="H110:H120" si="25">F110*G110/1000</f>
        <v>0</v>
      </c>
    </row>
    <row r="111" spans="1:8" outlineLevel="1" x14ac:dyDescent="0.2">
      <c r="A111" s="127"/>
      <c r="B111" s="52" t="s">
        <v>203</v>
      </c>
      <c r="C111" s="130" t="str">
        <f t="shared" si="23"/>
        <v>×</v>
      </c>
      <c r="D111" s="70"/>
      <c r="E111" s="55"/>
      <c r="F111" s="125">
        <v>1374025</v>
      </c>
      <c r="G111" s="53">
        <f t="shared" si="24"/>
        <v>0</v>
      </c>
      <c r="H111" s="53">
        <f t="shared" si="25"/>
        <v>0</v>
      </c>
    </row>
    <row r="112" spans="1:8" outlineLevel="1" x14ac:dyDescent="0.2">
      <c r="A112" s="127"/>
      <c r="B112" s="52" t="s">
        <v>79</v>
      </c>
      <c r="C112" s="130" t="str">
        <f t="shared" si="23"/>
        <v>×</v>
      </c>
      <c r="D112" s="70"/>
      <c r="E112" s="55"/>
      <c r="F112" s="125">
        <v>1226408</v>
      </c>
      <c r="G112" s="53">
        <f t="shared" si="24"/>
        <v>0</v>
      </c>
      <c r="H112" s="53">
        <f t="shared" si="25"/>
        <v>0</v>
      </c>
    </row>
    <row r="113" spans="1:8" outlineLevel="1" x14ac:dyDescent="0.2">
      <c r="A113" s="127"/>
      <c r="B113" s="52" t="s">
        <v>204</v>
      </c>
      <c r="C113" s="130" t="str">
        <f t="shared" si="23"/>
        <v>×</v>
      </c>
      <c r="D113" s="70"/>
      <c r="E113" s="55"/>
      <c r="F113" s="125">
        <v>1433132</v>
      </c>
      <c r="G113" s="53">
        <f t="shared" si="24"/>
        <v>0</v>
      </c>
      <c r="H113" s="53">
        <f t="shared" si="25"/>
        <v>0</v>
      </c>
    </row>
    <row r="114" spans="1:8" outlineLevel="1" x14ac:dyDescent="0.2">
      <c r="A114" s="127"/>
      <c r="B114" s="52" t="s">
        <v>205</v>
      </c>
      <c r="C114" s="130" t="str">
        <f t="shared" si="23"/>
        <v>×</v>
      </c>
      <c r="D114" s="70"/>
      <c r="E114" s="70"/>
      <c r="F114" s="125">
        <v>1613868</v>
      </c>
      <c r="G114" s="53">
        <f t="shared" si="24"/>
        <v>0</v>
      </c>
      <c r="H114" s="53">
        <f t="shared" si="25"/>
        <v>0</v>
      </c>
    </row>
    <row r="115" spans="1:8" outlineLevel="1" x14ac:dyDescent="0.2">
      <c r="A115" s="127"/>
      <c r="B115" s="52" t="s">
        <v>346</v>
      </c>
      <c r="C115" s="130" t="str">
        <f t="shared" si="23"/>
        <v>×</v>
      </c>
      <c r="D115" s="70"/>
      <c r="E115" s="55"/>
      <c r="F115" s="125">
        <v>1282874</v>
      </c>
      <c r="G115" s="53">
        <f t="shared" si="24"/>
        <v>0</v>
      </c>
      <c r="H115" s="53">
        <f t="shared" si="25"/>
        <v>0</v>
      </c>
    </row>
    <row r="116" spans="1:8" outlineLevel="1" x14ac:dyDescent="0.2">
      <c r="A116" s="127"/>
      <c r="B116" s="52" t="s">
        <v>347</v>
      </c>
      <c r="C116" s="130" t="str">
        <f t="shared" si="23"/>
        <v>×</v>
      </c>
      <c r="D116" s="70"/>
      <c r="E116" s="55"/>
      <c r="F116" s="125">
        <v>2010876</v>
      </c>
      <c r="G116" s="53">
        <f t="shared" si="24"/>
        <v>0</v>
      </c>
      <c r="H116" s="53">
        <f t="shared" si="25"/>
        <v>0</v>
      </c>
    </row>
    <row r="117" spans="1:8" outlineLevel="1" x14ac:dyDescent="0.2">
      <c r="A117" s="127"/>
      <c r="B117" s="52" t="s">
        <v>348</v>
      </c>
      <c r="C117" s="130" t="str">
        <f t="shared" si="23"/>
        <v>×</v>
      </c>
      <c r="D117" s="70"/>
      <c r="E117" s="55"/>
      <c r="F117" s="125">
        <v>2108890</v>
      </c>
      <c r="G117" s="53">
        <f t="shared" si="24"/>
        <v>0</v>
      </c>
      <c r="H117" s="53">
        <f t="shared" si="25"/>
        <v>0</v>
      </c>
    </row>
    <row r="118" spans="1:8" outlineLevel="1" x14ac:dyDescent="0.2">
      <c r="A118" s="127"/>
      <c r="B118" s="52" t="s">
        <v>349</v>
      </c>
      <c r="C118" s="130" t="str">
        <f t="shared" si="23"/>
        <v>×</v>
      </c>
      <c r="D118" s="70"/>
      <c r="E118" s="55"/>
      <c r="F118" s="125">
        <v>1355046</v>
      </c>
      <c r="G118" s="53">
        <f t="shared" si="24"/>
        <v>0</v>
      </c>
      <c r="H118" s="53">
        <f t="shared" si="25"/>
        <v>0</v>
      </c>
    </row>
    <row r="119" spans="1:8" outlineLevel="1" x14ac:dyDescent="0.2">
      <c r="A119" s="127"/>
      <c r="B119" s="52" t="s">
        <v>350</v>
      </c>
      <c r="C119" s="130" t="str">
        <f t="shared" si="23"/>
        <v>×</v>
      </c>
      <c r="D119" s="70"/>
      <c r="E119" s="55"/>
      <c r="F119" s="125">
        <v>1683292</v>
      </c>
      <c r="G119" s="53">
        <f t="shared" si="24"/>
        <v>0</v>
      </c>
      <c r="H119" s="53">
        <f t="shared" si="25"/>
        <v>0</v>
      </c>
    </row>
    <row r="120" spans="1:8" outlineLevel="1" x14ac:dyDescent="0.2">
      <c r="A120" s="127"/>
      <c r="B120" s="52" t="s">
        <v>351</v>
      </c>
      <c r="C120" s="130" t="str">
        <f t="shared" si="23"/>
        <v>×</v>
      </c>
      <c r="D120" s="70"/>
      <c r="E120" s="55"/>
      <c r="F120" s="125">
        <v>2250469</v>
      </c>
      <c r="G120" s="53">
        <f t="shared" si="24"/>
        <v>0</v>
      </c>
      <c r="H120" s="53">
        <f t="shared" si="25"/>
        <v>0</v>
      </c>
    </row>
    <row r="121" spans="1:8" x14ac:dyDescent="0.2">
      <c r="A121" s="127" t="s">
        <v>295</v>
      </c>
      <c r="B121" s="52" t="s">
        <v>80</v>
      </c>
      <c r="C121" s="57"/>
      <c r="D121" s="53">
        <f>SUM(D122:D133)</f>
        <v>0</v>
      </c>
      <c r="E121" s="53">
        <f>SUM(E122:E133)</f>
        <v>0</v>
      </c>
      <c r="F121" s="108"/>
      <c r="G121" s="53">
        <f>SUM(G122:G133)</f>
        <v>0</v>
      </c>
      <c r="H121" s="53">
        <f>SUM(H122:H133)</f>
        <v>0</v>
      </c>
    </row>
    <row r="122" spans="1:8" outlineLevel="1" x14ac:dyDescent="0.2">
      <c r="A122" s="127"/>
      <c r="B122" s="52" t="s">
        <v>78</v>
      </c>
      <c r="C122" s="130" t="str">
        <f t="shared" ref="C122:C133" si="26">IFERROR(E122*1000/D122,"×")</f>
        <v>×</v>
      </c>
      <c r="D122" s="70"/>
      <c r="E122" s="55"/>
      <c r="F122" s="125">
        <v>1100201</v>
      </c>
      <c r="G122" s="53">
        <f t="shared" si="24"/>
        <v>0</v>
      </c>
      <c r="H122" s="53">
        <f>F122*G122/1000</f>
        <v>0</v>
      </c>
    </row>
    <row r="123" spans="1:8" outlineLevel="1" x14ac:dyDescent="0.2">
      <c r="A123" s="127"/>
      <c r="B123" s="52" t="s">
        <v>202</v>
      </c>
      <c r="C123" s="130" t="str">
        <f t="shared" si="26"/>
        <v>×</v>
      </c>
      <c r="D123" s="70"/>
      <c r="E123" s="55"/>
      <c r="F123" s="125">
        <v>1231109</v>
      </c>
      <c r="G123" s="53">
        <f t="shared" si="24"/>
        <v>0</v>
      </c>
      <c r="H123" s="53">
        <f t="shared" ref="H123:H133" si="27">F123*G123/1000</f>
        <v>0</v>
      </c>
    </row>
    <row r="124" spans="1:8" outlineLevel="1" x14ac:dyDescent="0.2">
      <c r="A124" s="127"/>
      <c r="B124" s="52" t="s">
        <v>203</v>
      </c>
      <c r="C124" s="130" t="str">
        <f t="shared" si="26"/>
        <v>×</v>
      </c>
      <c r="D124" s="70"/>
      <c r="E124" s="55"/>
      <c r="F124" s="125">
        <v>1715157</v>
      </c>
      <c r="G124" s="53">
        <f t="shared" si="24"/>
        <v>0</v>
      </c>
      <c r="H124" s="53">
        <f t="shared" si="27"/>
        <v>0</v>
      </c>
    </row>
    <row r="125" spans="1:8" outlineLevel="1" x14ac:dyDescent="0.2">
      <c r="A125" s="127"/>
      <c r="B125" s="52" t="s">
        <v>79</v>
      </c>
      <c r="C125" s="130" t="str">
        <f t="shared" si="26"/>
        <v>×</v>
      </c>
      <c r="D125" s="70"/>
      <c r="E125" s="55"/>
      <c r="F125" s="125">
        <v>1292246</v>
      </c>
      <c r="G125" s="53">
        <f t="shared" si="24"/>
        <v>0</v>
      </c>
      <c r="H125" s="53">
        <f t="shared" si="27"/>
        <v>0</v>
      </c>
    </row>
    <row r="126" spans="1:8" outlineLevel="1" x14ac:dyDescent="0.2">
      <c r="A126" s="127"/>
      <c r="B126" s="52" t="s">
        <v>204</v>
      </c>
      <c r="C126" s="130" t="str">
        <f t="shared" si="26"/>
        <v>×</v>
      </c>
      <c r="D126" s="70"/>
      <c r="E126" s="55"/>
      <c r="F126" s="125">
        <v>1446005</v>
      </c>
      <c r="G126" s="53">
        <f t="shared" si="24"/>
        <v>0</v>
      </c>
      <c r="H126" s="53">
        <f t="shared" si="27"/>
        <v>0</v>
      </c>
    </row>
    <row r="127" spans="1:8" outlineLevel="1" x14ac:dyDescent="0.2">
      <c r="A127" s="127"/>
      <c r="B127" s="52" t="s">
        <v>205</v>
      </c>
      <c r="C127" s="130" t="str">
        <f t="shared" si="26"/>
        <v>×</v>
      </c>
      <c r="D127" s="70"/>
      <c r="E127" s="55"/>
      <c r="F127" s="125">
        <v>2014547</v>
      </c>
      <c r="G127" s="53">
        <f t="shared" si="24"/>
        <v>0</v>
      </c>
      <c r="H127" s="53">
        <f t="shared" si="27"/>
        <v>0</v>
      </c>
    </row>
    <row r="128" spans="1:8" outlineLevel="1" x14ac:dyDescent="0.2">
      <c r="A128" s="127"/>
      <c r="B128" s="52" t="s">
        <v>346</v>
      </c>
      <c r="C128" s="130" t="str">
        <f t="shared" si="26"/>
        <v>×</v>
      </c>
      <c r="D128" s="70"/>
      <c r="E128" s="55"/>
      <c r="F128" s="125">
        <v>2022799</v>
      </c>
      <c r="G128" s="53">
        <f t="shared" si="24"/>
        <v>0</v>
      </c>
      <c r="H128" s="53">
        <f t="shared" si="27"/>
        <v>0</v>
      </c>
    </row>
    <row r="129" spans="1:8" outlineLevel="1" x14ac:dyDescent="0.2">
      <c r="A129" s="127"/>
      <c r="B129" s="52" t="s">
        <v>347</v>
      </c>
      <c r="C129" s="130" t="str">
        <f t="shared" si="26"/>
        <v>×</v>
      </c>
      <c r="D129" s="70"/>
      <c r="E129" s="55"/>
      <c r="F129" s="125">
        <v>2206749</v>
      </c>
      <c r="G129" s="53">
        <f t="shared" si="24"/>
        <v>0</v>
      </c>
      <c r="H129" s="53">
        <f t="shared" si="27"/>
        <v>0</v>
      </c>
    </row>
    <row r="130" spans="1:8" outlineLevel="1" x14ac:dyDescent="0.2">
      <c r="A130" s="127"/>
      <c r="B130" s="52" t="s">
        <v>348</v>
      </c>
      <c r="C130" s="130" t="str">
        <f t="shared" si="26"/>
        <v>×</v>
      </c>
      <c r="D130" s="70"/>
      <c r="E130" s="55"/>
      <c r="F130" s="125">
        <v>2314310</v>
      </c>
      <c r="G130" s="53">
        <f t="shared" si="24"/>
        <v>0</v>
      </c>
      <c r="H130" s="53">
        <f t="shared" si="27"/>
        <v>0</v>
      </c>
    </row>
    <row r="131" spans="1:8" outlineLevel="1" x14ac:dyDescent="0.2">
      <c r="A131" s="127"/>
      <c r="B131" s="52" t="s">
        <v>349</v>
      </c>
      <c r="C131" s="130" t="str">
        <f t="shared" si="26"/>
        <v>×</v>
      </c>
      <c r="D131" s="70"/>
      <c r="E131" s="55"/>
      <c r="F131" s="125">
        <v>2375888</v>
      </c>
      <c r="G131" s="53">
        <f t="shared" si="24"/>
        <v>0</v>
      </c>
      <c r="H131" s="53">
        <f t="shared" si="27"/>
        <v>0</v>
      </c>
    </row>
    <row r="132" spans="1:8" outlineLevel="1" x14ac:dyDescent="0.2">
      <c r="A132" s="127"/>
      <c r="B132" s="52" t="s">
        <v>350</v>
      </c>
      <c r="C132" s="130" t="str">
        <f t="shared" si="26"/>
        <v>×</v>
      </c>
      <c r="D132" s="70"/>
      <c r="E132" s="55"/>
      <c r="F132" s="125">
        <v>2591948</v>
      </c>
      <c r="G132" s="53">
        <f t="shared" si="24"/>
        <v>0</v>
      </c>
      <c r="H132" s="53">
        <f t="shared" si="27"/>
        <v>0</v>
      </c>
    </row>
    <row r="133" spans="1:8" outlineLevel="1" x14ac:dyDescent="0.2">
      <c r="A133" s="127"/>
      <c r="B133" s="52" t="s">
        <v>351</v>
      </c>
      <c r="C133" s="130" t="str">
        <f t="shared" si="26"/>
        <v>×</v>
      </c>
      <c r="D133" s="70"/>
      <c r="E133" s="55"/>
      <c r="F133" s="125">
        <v>2718285</v>
      </c>
      <c r="G133" s="53">
        <f t="shared" si="24"/>
        <v>0</v>
      </c>
      <c r="H133" s="53">
        <f t="shared" si="27"/>
        <v>0</v>
      </c>
    </row>
    <row r="134" spans="1:8" ht="13.5" customHeight="1" x14ac:dyDescent="0.2">
      <c r="A134" s="127" t="s">
        <v>179</v>
      </c>
      <c r="B134" s="52" t="s">
        <v>82</v>
      </c>
      <c r="C134" s="57"/>
      <c r="D134" s="53">
        <f>SUM(D135:D150)</f>
        <v>0</v>
      </c>
      <c r="E134" s="74">
        <f>SUM(E135:E150)</f>
        <v>0</v>
      </c>
      <c r="F134" s="108"/>
      <c r="G134" s="53">
        <f>SUM(G135:G150)</f>
        <v>0</v>
      </c>
      <c r="H134" s="53">
        <f>SUM(H135:H150)</f>
        <v>0</v>
      </c>
    </row>
    <row r="135" spans="1:8" ht="13.5" customHeight="1" outlineLevel="2" x14ac:dyDescent="0.2">
      <c r="A135" s="127"/>
      <c r="B135" s="52" t="s">
        <v>83</v>
      </c>
      <c r="C135" s="130" t="str">
        <f t="shared" ref="C135:C150" si="28">IFERROR(E135*1000/D135,"×")</f>
        <v>×</v>
      </c>
      <c r="D135" s="70"/>
      <c r="E135" s="55"/>
      <c r="F135" s="125">
        <v>1616727</v>
      </c>
      <c r="G135" s="53">
        <f t="shared" si="24"/>
        <v>0</v>
      </c>
      <c r="H135" s="53">
        <f>F135*G135/1000</f>
        <v>0</v>
      </c>
    </row>
    <row r="136" spans="1:8" ht="13.5" customHeight="1" outlineLevel="2" x14ac:dyDescent="0.2">
      <c r="A136" s="127"/>
      <c r="B136" s="52" t="s">
        <v>206</v>
      </c>
      <c r="C136" s="130" t="str">
        <f t="shared" si="28"/>
        <v>×</v>
      </c>
      <c r="D136" s="70"/>
      <c r="E136" s="55"/>
      <c r="F136" s="125">
        <v>2368947</v>
      </c>
      <c r="G136" s="53">
        <f t="shared" si="24"/>
        <v>0</v>
      </c>
      <c r="H136" s="53">
        <f t="shared" ref="H136:H150" si="29">F136*G136/1000</f>
        <v>0</v>
      </c>
    </row>
    <row r="137" spans="1:8" ht="13.5" customHeight="1" outlineLevel="2" x14ac:dyDescent="0.2">
      <c r="A137" s="127"/>
      <c r="B137" s="52" t="s">
        <v>207</v>
      </c>
      <c r="C137" s="130" t="str">
        <f t="shared" si="28"/>
        <v>×</v>
      </c>
      <c r="D137" s="70"/>
      <c r="E137" s="55"/>
      <c r="F137" s="125">
        <v>2587547</v>
      </c>
      <c r="G137" s="53">
        <f t="shared" si="24"/>
        <v>0</v>
      </c>
      <c r="H137" s="53">
        <f t="shared" si="29"/>
        <v>0</v>
      </c>
    </row>
    <row r="138" spans="1:8" ht="13.5" customHeight="1" outlineLevel="2" x14ac:dyDescent="0.2">
      <c r="A138" s="127"/>
      <c r="B138" s="52" t="s">
        <v>208</v>
      </c>
      <c r="C138" s="130" t="str">
        <f t="shared" si="28"/>
        <v>×</v>
      </c>
      <c r="D138" s="70"/>
      <c r="E138" s="55"/>
      <c r="F138" s="125">
        <v>3899047</v>
      </c>
      <c r="G138" s="53">
        <f t="shared" si="24"/>
        <v>0</v>
      </c>
      <c r="H138" s="53">
        <f t="shared" si="29"/>
        <v>0</v>
      </c>
    </row>
    <row r="139" spans="1:8" ht="13.5" customHeight="1" outlineLevel="2" x14ac:dyDescent="0.2">
      <c r="A139" s="127"/>
      <c r="B139" s="52" t="s">
        <v>84</v>
      </c>
      <c r="C139" s="130" t="str">
        <f t="shared" si="28"/>
        <v>×</v>
      </c>
      <c r="D139" s="70"/>
      <c r="E139" s="55"/>
      <c r="F139" s="125">
        <v>2185349</v>
      </c>
      <c r="G139" s="53">
        <f t="shared" si="24"/>
        <v>0</v>
      </c>
      <c r="H139" s="53">
        <f t="shared" si="29"/>
        <v>0</v>
      </c>
    </row>
    <row r="140" spans="1:8" ht="13.5" customHeight="1" outlineLevel="2" x14ac:dyDescent="0.2">
      <c r="A140" s="127"/>
      <c r="B140" s="52" t="s">
        <v>209</v>
      </c>
      <c r="C140" s="130" t="str">
        <f t="shared" si="28"/>
        <v>×</v>
      </c>
      <c r="D140" s="70"/>
      <c r="E140" s="55"/>
      <c r="F140" s="125">
        <v>3202135</v>
      </c>
      <c r="G140" s="53">
        <f t="shared" si="24"/>
        <v>0</v>
      </c>
      <c r="H140" s="53">
        <f t="shared" si="29"/>
        <v>0</v>
      </c>
    </row>
    <row r="141" spans="1:8" ht="13.5" customHeight="1" outlineLevel="2" x14ac:dyDescent="0.2">
      <c r="A141" s="127"/>
      <c r="B141" s="52" t="s">
        <v>210</v>
      </c>
      <c r="C141" s="130" t="str">
        <f t="shared" si="28"/>
        <v>×</v>
      </c>
      <c r="D141" s="70"/>
      <c r="E141" s="55"/>
      <c r="F141" s="125">
        <v>3497620</v>
      </c>
      <c r="G141" s="53">
        <f t="shared" si="24"/>
        <v>0</v>
      </c>
      <c r="H141" s="53">
        <f t="shared" si="29"/>
        <v>0</v>
      </c>
    </row>
    <row r="142" spans="1:8" ht="13.5" customHeight="1" outlineLevel="2" x14ac:dyDescent="0.2">
      <c r="A142" s="127"/>
      <c r="B142" s="52" t="s">
        <v>211</v>
      </c>
      <c r="C142" s="130" t="str">
        <f t="shared" si="28"/>
        <v>×</v>
      </c>
      <c r="D142" s="70"/>
      <c r="E142" s="55"/>
      <c r="F142" s="125">
        <v>4785471</v>
      </c>
      <c r="G142" s="53">
        <f t="shared" si="24"/>
        <v>0</v>
      </c>
      <c r="H142" s="53">
        <f t="shared" si="29"/>
        <v>0</v>
      </c>
    </row>
    <row r="143" spans="1:8" ht="13.5" customHeight="1" outlineLevel="2" x14ac:dyDescent="0.2">
      <c r="A143" s="127"/>
      <c r="B143" s="52" t="s">
        <v>352</v>
      </c>
      <c r="C143" s="130" t="str">
        <f t="shared" si="28"/>
        <v>×</v>
      </c>
      <c r="D143" s="70"/>
      <c r="E143" s="55"/>
      <c r="F143" s="125">
        <v>2750341</v>
      </c>
      <c r="G143" s="53">
        <f t="shared" si="24"/>
        <v>0</v>
      </c>
      <c r="H143" s="53">
        <f t="shared" si="29"/>
        <v>0</v>
      </c>
    </row>
    <row r="144" spans="1:8" ht="13.5" customHeight="1" outlineLevel="2" x14ac:dyDescent="0.2">
      <c r="A144" s="127"/>
      <c r="B144" s="52" t="s">
        <v>353</v>
      </c>
      <c r="C144" s="130" t="str">
        <f t="shared" si="28"/>
        <v>×</v>
      </c>
      <c r="D144" s="70"/>
      <c r="E144" s="55"/>
      <c r="F144" s="125">
        <v>3299457</v>
      </c>
      <c r="G144" s="53">
        <f t="shared" si="24"/>
        <v>0</v>
      </c>
      <c r="H144" s="53">
        <f t="shared" si="29"/>
        <v>0</v>
      </c>
    </row>
    <row r="145" spans="1:8" ht="13.5" customHeight="1" outlineLevel="2" x14ac:dyDescent="0.2">
      <c r="A145" s="127"/>
      <c r="B145" s="52" t="s">
        <v>354</v>
      </c>
      <c r="C145" s="130" t="str">
        <f t="shared" si="28"/>
        <v>×</v>
      </c>
      <c r="D145" s="70"/>
      <c r="E145" s="55"/>
      <c r="F145" s="125">
        <v>3343315</v>
      </c>
      <c r="G145" s="53">
        <f t="shared" si="24"/>
        <v>0</v>
      </c>
      <c r="H145" s="53">
        <f t="shared" si="29"/>
        <v>0</v>
      </c>
    </row>
    <row r="146" spans="1:8" ht="13.5" customHeight="1" outlineLevel="2" x14ac:dyDescent="0.2">
      <c r="A146" s="127"/>
      <c r="B146" s="52" t="s">
        <v>355</v>
      </c>
      <c r="C146" s="130" t="str">
        <f t="shared" si="28"/>
        <v>×</v>
      </c>
      <c r="D146" s="70"/>
      <c r="E146" s="55"/>
      <c r="F146" s="125">
        <v>4781190</v>
      </c>
      <c r="G146" s="53">
        <f t="shared" si="24"/>
        <v>0</v>
      </c>
      <c r="H146" s="53">
        <f t="shared" si="29"/>
        <v>0</v>
      </c>
    </row>
    <row r="147" spans="1:8" ht="13.5" customHeight="1" outlineLevel="2" x14ac:dyDescent="0.2">
      <c r="A147" s="127"/>
      <c r="B147" s="52" t="s">
        <v>356</v>
      </c>
      <c r="C147" s="130" t="str">
        <f t="shared" si="28"/>
        <v>×</v>
      </c>
      <c r="D147" s="70"/>
      <c r="E147" s="55"/>
      <c r="F147" s="125">
        <v>3564183</v>
      </c>
      <c r="G147" s="53">
        <f t="shared" si="24"/>
        <v>0</v>
      </c>
      <c r="H147" s="53">
        <f t="shared" si="29"/>
        <v>0</v>
      </c>
    </row>
    <row r="148" spans="1:8" ht="13.5" customHeight="1" outlineLevel="2" x14ac:dyDescent="0.2">
      <c r="A148" s="127"/>
      <c r="B148" s="52" t="s">
        <v>357</v>
      </c>
      <c r="C148" s="130" t="str">
        <f t="shared" si="28"/>
        <v>×</v>
      </c>
      <c r="D148" s="70"/>
      <c r="E148" s="55"/>
      <c r="F148" s="125">
        <v>4062872</v>
      </c>
      <c r="G148" s="53">
        <f t="shared" si="24"/>
        <v>0</v>
      </c>
      <c r="H148" s="53">
        <f t="shared" si="29"/>
        <v>0</v>
      </c>
    </row>
    <row r="149" spans="1:8" ht="13.5" customHeight="1" outlineLevel="2" x14ac:dyDescent="0.2">
      <c r="A149" s="127"/>
      <c r="B149" s="52" t="s">
        <v>358</v>
      </c>
      <c r="C149" s="130" t="str">
        <f t="shared" si="28"/>
        <v>×</v>
      </c>
      <c r="D149" s="70"/>
      <c r="E149" s="55"/>
      <c r="F149" s="125">
        <v>5777891</v>
      </c>
      <c r="G149" s="53">
        <f t="shared" si="24"/>
        <v>0</v>
      </c>
      <c r="H149" s="53">
        <f t="shared" si="29"/>
        <v>0</v>
      </c>
    </row>
    <row r="150" spans="1:8" ht="13.5" customHeight="1" outlineLevel="2" x14ac:dyDescent="0.2">
      <c r="A150" s="127"/>
      <c r="B150" s="52" t="s">
        <v>359</v>
      </c>
      <c r="C150" s="130" t="str">
        <f t="shared" si="28"/>
        <v>×</v>
      </c>
      <c r="D150" s="70"/>
      <c r="E150" s="55"/>
      <c r="F150" s="125">
        <v>6071809</v>
      </c>
      <c r="G150" s="53">
        <f t="shared" si="24"/>
        <v>0</v>
      </c>
      <c r="H150" s="53">
        <f t="shared" si="29"/>
        <v>0</v>
      </c>
    </row>
    <row r="151" spans="1:8" ht="13.5" customHeight="1" x14ac:dyDescent="0.2">
      <c r="A151" s="127" t="s">
        <v>180</v>
      </c>
      <c r="B151" s="52" t="s">
        <v>86</v>
      </c>
      <c r="C151" s="57"/>
      <c r="D151" s="53">
        <f>SUM(D152:D157)</f>
        <v>0</v>
      </c>
      <c r="E151" s="74">
        <f>SUM(E152:E157)</f>
        <v>0</v>
      </c>
      <c r="F151" s="111"/>
      <c r="G151" s="53">
        <f>SUM(G152:G157)</f>
        <v>0</v>
      </c>
      <c r="H151" s="53">
        <f>SUM(H152:H157)</f>
        <v>0</v>
      </c>
    </row>
    <row r="152" spans="1:8" ht="13.5" customHeight="1" outlineLevel="1" x14ac:dyDescent="0.2">
      <c r="A152" s="127"/>
      <c r="B152" s="52" t="s">
        <v>87</v>
      </c>
      <c r="C152" s="130" t="str">
        <f t="shared" ref="C152:C157" si="30">IFERROR(E152*1000/D152,"×")</f>
        <v>×</v>
      </c>
      <c r="D152" s="70"/>
      <c r="E152" s="55"/>
      <c r="F152" s="125">
        <v>168847</v>
      </c>
      <c r="G152" s="53">
        <f t="shared" si="24"/>
        <v>0</v>
      </c>
      <c r="H152" s="53">
        <f>F152*G152/1000</f>
        <v>0</v>
      </c>
    </row>
    <row r="153" spans="1:8" ht="24" outlineLevel="1" x14ac:dyDescent="0.2">
      <c r="A153" s="127"/>
      <c r="B153" s="52" t="s">
        <v>212</v>
      </c>
      <c r="C153" s="130" t="str">
        <f t="shared" si="30"/>
        <v>×</v>
      </c>
      <c r="D153" s="70"/>
      <c r="E153" s="55"/>
      <c r="F153" s="125">
        <v>882440</v>
      </c>
      <c r="G153" s="53">
        <f t="shared" si="24"/>
        <v>0</v>
      </c>
      <c r="H153" s="53">
        <f t="shared" ref="H153:H157" si="31">F153*G153/1000</f>
        <v>0</v>
      </c>
    </row>
    <row r="154" spans="1:8" ht="24" outlineLevel="1" x14ac:dyDescent="0.2">
      <c r="A154" s="127"/>
      <c r="B154" s="52" t="s">
        <v>365</v>
      </c>
      <c r="C154" s="130" t="str">
        <f t="shared" si="30"/>
        <v>×</v>
      </c>
      <c r="D154" s="70"/>
      <c r="E154" s="55"/>
      <c r="F154" s="125">
        <v>1772862</v>
      </c>
      <c r="G154" s="53">
        <f t="shared" ref="G154:G155" si="32">D154</f>
        <v>0</v>
      </c>
      <c r="H154" s="53">
        <f t="shared" ref="H154:H155" si="33">F154*G154/1000</f>
        <v>0</v>
      </c>
    </row>
    <row r="155" spans="1:8" ht="24" outlineLevel="1" x14ac:dyDescent="0.2">
      <c r="A155" s="127"/>
      <c r="B155" s="52" t="s">
        <v>260</v>
      </c>
      <c r="C155" s="130" t="str">
        <f t="shared" si="30"/>
        <v>×</v>
      </c>
      <c r="D155" s="70"/>
      <c r="E155" s="55"/>
      <c r="F155" s="125">
        <v>128183</v>
      </c>
      <c r="G155" s="53">
        <f t="shared" si="32"/>
        <v>0</v>
      </c>
      <c r="H155" s="53">
        <f t="shared" si="33"/>
        <v>0</v>
      </c>
    </row>
    <row r="156" spans="1:8" ht="13.5" customHeight="1" outlineLevel="1" x14ac:dyDescent="0.2">
      <c r="A156" s="127"/>
      <c r="B156" s="52" t="s">
        <v>88</v>
      </c>
      <c r="C156" s="130" t="str">
        <f t="shared" si="30"/>
        <v>×</v>
      </c>
      <c r="D156" s="70"/>
      <c r="E156" s="55"/>
      <c r="F156" s="125">
        <v>1737786</v>
      </c>
      <c r="G156" s="53">
        <f t="shared" si="24"/>
        <v>0</v>
      </c>
      <c r="H156" s="53">
        <f t="shared" si="31"/>
        <v>0</v>
      </c>
    </row>
    <row r="157" spans="1:8" ht="13.5" customHeight="1" outlineLevel="1" x14ac:dyDescent="0.2">
      <c r="A157" s="127"/>
      <c r="B157" s="52" t="s">
        <v>213</v>
      </c>
      <c r="C157" s="130" t="str">
        <f t="shared" si="30"/>
        <v>×</v>
      </c>
      <c r="D157" s="70"/>
      <c r="E157" s="55"/>
      <c r="F157" s="125">
        <v>92049</v>
      </c>
      <c r="G157" s="53">
        <f t="shared" si="24"/>
        <v>0</v>
      </c>
      <c r="H157" s="53">
        <f t="shared" si="31"/>
        <v>0</v>
      </c>
    </row>
    <row r="158" spans="1:8" ht="35.25" customHeight="1" x14ac:dyDescent="0.2">
      <c r="A158" s="127" t="s">
        <v>181</v>
      </c>
      <c r="B158" s="52" t="s">
        <v>90</v>
      </c>
      <c r="C158" s="57"/>
      <c r="D158" s="53">
        <f>SUM(D159,D166,D173,D192)</f>
        <v>0</v>
      </c>
      <c r="E158" s="53">
        <f>SUM(E159,E166,E173,E192)</f>
        <v>0</v>
      </c>
      <c r="F158" s="111"/>
      <c r="G158" s="53">
        <f>SUM(G159,G166,G173,G192)</f>
        <v>0</v>
      </c>
      <c r="H158" s="53">
        <f>SUM(H159,H166,H173,H192)</f>
        <v>0</v>
      </c>
    </row>
    <row r="159" spans="1:8" ht="13.5" customHeight="1" x14ac:dyDescent="0.2">
      <c r="A159" s="127" t="s">
        <v>296</v>
      </c>
      <c r="B159" s="52" t="s">
        <v>91</v>
      </c>
      <c r="C159" s="57"/>
      <c r="D159" s="53">
        <f>SUM(D160:D165)</f>
        <v>0</v>
      </c>
      <c r="E159" s="53">
        <f>SUM(E160:E165)</f>
        <v>0</v>
      </c>
      <c r="F159" s="112"/>
      <c r="G159" s="53">
        <f>SUM(G160:G165)</f>
        <v>0</v>
      </c>
      <c r="H159" s="53">
        <f>SUM(H160:H165)</f>
        <v>0</v>
      </c>
    </row>
    <row r="160" spans="1:8" ht="13.5" customHeight="1" outlineLevel="1" x14ac:dyDescent="0.2">
      <c r="A160" s="127"/>
      <c r="B160" s="52" t="s">
        <v>92</v>
      </c>
      <c r="C160" s="130" t="str">
        <f t="shared" ref="C160:C165" si="34">IFERROR(E160*1000/D160,"×")</f>
        <v>×</v>
      </c>
      <c r="D160" s="70"/>
      <c r="E160" s="55"/>
      <c r="F160" s="125">
        <v>5299</v>
      </c>
      <c r="G160" s="53">
        <f t="shared" si="24"/>
        <v>0</v>
      </c>
      <c r="H160" s="53">
        <f>F160*G160/1000</f>
        <v>0</v>
      </c>
    </row>
    <row r="161" spans="1:8" ht="13.5" customHeight="1" outlineLevel="1" x14ac:dyDescent="0.2">
      <c r="A161" s="127"/>
      <c r="B161" s="52" t="s">
        <v>93</v>
      </c>
      <c r="C161" s="130" t="str">
        <f t="shared" si="34"/>
        <v>×</v>
      </c>
      <c r="D161" s="70"/>
      <c r="E161" s="55"/>
      <c r="F161" s="125">
        <v>3843</v>
      </c>
      <c r="G161" s="53">
        <f t="shared" si="24"/>
        <v>0</v>
      </c>
      <c r="H161" s="53">
        <f t="shared" ref="H161:H165" si="35">F161*G161/1000</f>
        <v>0</v>
      </c>
    </row>
    <row r="162" spans="1:8" ht="13.5" customHeight="1" outlineLevel="1" x14ac:dyDescent="0.2">
      <c r="A162" s="127"/>
      <c r="B162" s="52" t="s">
        <v>94</v>
      </c>
      <c r="C162" s="130" t="str">
        <f t="shared" si="34"/>
        <v>×</v>
      </c>
      <c r="D162" s="70"/>
      <c r="E162" s="55"/>
      <c r="F162" s="125">
        <v>3611</v>
      </c>
      <c r="G162" s="53">
        <f t="shared" si="24"/>
        <v>0</v>
      </c>
      <c r="H162" s="53">
        <f t="shared" si="35"/>
        <v>0</v>
      </c>
    </row>
    <row r="163" spans="1:8" ht="13.5" customHeight="1" outlineLevel="1" x14ac:dyDescent="0.2">
      <c r="A163" s="127"/>
      <c r="B163" s="52" t="s">
        <v>95</v>
      </c>
      <c r="C163" s="130" t="str">
        <f t="shared" si="34"/>
        <v>×</v>
      </c>
      <c r="D163" s="70"/>
      <c r="E163" s="55"/>
      <c r="F163" s="125">
        <v>2873</v>
      </c>
      <c r="G163" s="53">
        <f t="shared" si="24"/>
        <v>0</v>
      </c>
      <c r="H163" s="53">
        <f t="shared" si="35"/>
        <v>0</v>
      </c>
    </row>
    <row r="164" spans="1:8" ht="13.5" customHeight="1" outlineLevel="1" x14ac:dyDescent="0.2">
      <c r="A164" s="127"/>
      <c r="B164" s="52" t="s">
        <v>96</v>
      </c>
      <c r="C164" s="130" t="str">
        <f t="shared" si="34"/>
        <v>×</v>
      </c>
      <c r="D164" s="70"/>
      <c r="E164" s="55"/>
      <c r="F164" s="125">
        <v>1796</v>
      </c>
      <c r="G164" s="53">
        <f t="shared" si="24"/>
        <v>0</v>
      </c>
      <c r="H164" s="53">
        <f t="shared" si="35"/>
        <v>0</v>
      </c>
    </row>
    <row r="165" spans="1:8" ht="13.5" customHeight="1" outlineLevel="1" x14ac:dyDescent="0.2">
      <c r="A165" s="127"/>
      <c r="B165" s="52" t="s">
        <v>97</v>
      </c>
      <c r="C165" s="130" t="str">
        <f t="shared" si="34"/>
        <v>×</v>
      </c>
      <c r="D165" s="70"/>
      <c r="E165" s="55"/>
      <c r="F165" s="125">
        <v>1432</v>
      </c>
      <c r="G165" s="53">
        <f t="shared" si="24"/>
        <v>0</v>
      </c>
      <c r="H165" s="53">
        <f t="shared" si="35"/>
        <v>0</v>
      </c>
    </row>
    <row r="166" spans="1:8" ht="13.5" customHeight="1" x14ac:dyDescent="0.2">
      <c r="A166" s="127" t="s">
        <v>297</v>
      </c>
      <c r="B166" s="52" t="s">
        <v>98</v>
      </c>
      <c r="C166" s="57"/>
      <c r="D166" s="74">
        <f>SUM(D167:D172)</f>
        <v>0</v>
      </c>
      <c r="E166" s="74">
        <f>SUM(E167:E172)</f>
        <v>0</v>
      </c>
      <c r="F166" s="111"/>
      <c r="G166" s="53">
        <f>SUM(G167:G172)</f>
        <v>0</v>
      </c>
      <c r="H166" s="53">
        <f>SUM(H167:H172)</f>
        <v>0</v>
      </c>
    </row>
    <row r="167" spans="1:8" ht="13.5" customHeight="1" outlineLevel="1" x14ac:dyDescent="0.2">
      <c r="A167" s="127"/>
      <c r="B167" s="52" t="s">
        <v>92</v>
      </c>
      <c r="C167" s="130" t="str">
        <f t="shared" ref="C167:C172" si="36">IFERROR(E167*1000/D167,"×")</f>
        <v>×</v>
      </c>
      <c r="D167" s="70"/>
      <c r="E167" s="55"/>
      <c r="F167" s="125">
        <v>6319</v>
      </c>
      <c r="G167" s="53">
        <f t="shared" si="24"/>
        <v>0</v>
      </c>
      <c r="H167" s="53">
        <f>F167*G167/1000</f>
        <v>0</v>
      </c>
    </row>
    <row r="168" spans="1:8" ht="13.5" customHeight="1" outlineLevel="1" x14ac:dyDescent="0.2">
      <c r="A168" s="127"/>
      <c r="B168" s="52" t="s">
        <v>93</v>
      </c>
      <c r="C168" s="130" t="str">
        <f t="shared" si="36"/>
        <v>×</v>
      </c>
      <c r="D168" s="70"/>
      <c r="E168" s="55"/>
      <c r="F168" s="125">
        <v>4582</v>
      </c>
      <c r="G168" s="53">
        <f t="shared" si="24"/>
        <v>0</v>
      </c>
      <c r="H168" s="53">
        <f t="shared" ref="H168:H172" si="37">F168*G168/1000</f>
        <v>0</v>
      </c>
    </row>
    <row r="169" spans="1:8" ht="13.5" customHeight="1" outlineLevel="1" x14ac:dyDescent="0.2">
      <c r="A169" s="127"/>
      <c r="B169" s="52" t="s">
        <v>94</v>
      </c>
      <c r="C169" s="130" t="str">
        <f t="shared" si="36"/>
        <v>×</v>
      </c>
      <c r="D169" s="70"/>
      <c r="E169" s="55"/>
      <c r="F169" s="125">
        <v>4306</v>
      </c>
      <c r="G169" s="53">
        <f t="shared" si="24"/>
        <v>0</v>
      </c>
      <c r="H169" s="53">
        <f t="shared" si="37"/>
        <v>0</v>
      </c>
    </row>
    <row r="170" spans="1:8" ht="13.5" customHeight="1" outlineLevel="1" x14ac:dyDescent="0.2">
      <c r="A170" s="127"/>
      <c r="B170" s="52" t="s">
        <v>95</v>
      </c>
      <c r="C170" s="130" t="str">
        <f t="shared" si="36"/>
        <v>×</v>
      </c>
      <c r="D170" s="70"/>
      <c r="E170" s="55"/>
      <c r="F170" s="125">
        <v>3757</v>
      </c>
      <c r="G170" s="53">
        <f t="shared" si="24"/>
        <v>0</v>
      </c>
      <c r="H170" s="53">
        <f t="shared" si="37"/>
        <v>0</v>
      </c>
    </row>
    <row r="171" spans="1:8" ht="13.5" customHeight="1" outlineLevel="1" x14ac:dyDescent="0.2">
      <c r="A171" s="127"/>
      <c r="B171" s="52" t="s">
        <v>96</v>
      </c>
      <c r="C171" s="130" t="str">
        <f t="shared" si="36"/>
        <v>×</v>
      </c>
      <c r="D171" s="70"/>
      <c r="E171" s="55"/>
      <c r="F171" s="125">
        <v>2348</v>
      </c>
      <c r="G171" s="53">
        <f t="shared" ref="G171:G202" si="38">D171</f>
        <v>0</v>
      </c>
      <c r="H171" s="53">
        <f t="shared" si="37"/>
        <v>0</v>
      </c>
    </row>
    <row r="172" spans="1:8" ht="13.5" customHeight="1" outlineLevel="1" x14ac:dyDescent="0.2">
      <c r="A172" s="127"/>
      <c r="B172" s="52" t="s">
        <v>97</v>
      </c>
      <c r="C172" s="130" t="str">
        <f t="shared" si="36"/>
        <v>×</v>
      </c>
      <c r="D172" s="70"/>
      <c r="E172" s="55"/>
      <c r="F172" s="125">
        <v>1731</v>
      </c>
      <c r="G172" s="53">
        <f t="shared" si="38"/>
        <v>0</v>
      </c>
      <c r="H172" s="53">
        <f t="shared" si="37"/>
        <v>0</v>
      </c>
    </row>
    <row r="173" spans="1:8" ht="13.5" customHeight="1" x14ac:dyDescent="0.2">
      <c r="A173" s="127" t="s">
        <v>298</v>
      </c>
      <c r="B173" s="52" t="s">
        <v>99</v>
      </c>
      <c r="C173" s="57"/>
      <c r="D173" s="74">
        <f>SUM(D174:D191)</f>
        <v>0</v>
      </c>
      <c r="E173" s="74">
        <f>SUM(E174:E191)</f>
        <v>0</v>
      </c>
      <c r="F173" s="111"/>
      <c r="G173" s="53">
        <f>SUM(G174:G191)</f>
        <v>0</v>
      </c>
      <c r="H173" s="53">
        <f>SUM(H174:H191)</f>
        <v>0</v>
      </c>
    </row>
    <row r="174" spans="1:8" ht="13.5" customHeight="1" outlineLevel="1" x14ac:dyDescent="0.2">
      <c r="A174" s="127"/>
      <c r="B174" s="52" t="s">
        <v>92</v>
      </c>
      <c r="C174" s="130" t="str">
        <f t="shared" ref="C174:C191" si="39">IFERROR(E174*1000/D174,"×")</f>
        <v>×</v>
      </c>
      <c r="D174" s="70"/>
      <c r="E174" s="55"/>
      <c r="F174" s="125">
        <v>13246</v>
      </c>
      <c r="G174" s="53">
        <f t="shared" si="38"/>
        <v>0</v>
      </c>
      <c r="H174" s="53">
        <f>F174*G174/1000</f>
        <v>0</v>
      </c>
    </row>
    <row r="175" spans="1:8" ht="13.5" customHeight="1" outlineLevel="1" x14ac:dyDescent="0.2">
      <c r="A175" s="127"/>
      <c r="B175" s="52" t="s">
        <v>93</v>
      </c>
      <c r="C175" s="130" t="str">
        <f t="shared" si="39"/>
        <v>×</v>
      </c>
      <c r="D175" s="70"/>
      <c r="E175" s="55"/>
      <c r="F175" s="125">
        <v>9084</v>
      </c>
      <c r="G175" s="53">
        <f t="shared" si="38"/>
        <v>0</v>
      </c>
      <c r="H175" s="53">
        <f t="shared" ref="H175:H191" si="40">F175*G175/1000</f>
        <v>0</v>
      </c>
    </row>
    <row r="176" spans="1:8" ht="13.5" customHeight="1" outlineLevel="1" x14ac:dyDescent="0.2">
      <c r="A176" s="127"/>
      <c r="B176" s="52" t="s">
        <v>94</v>
      </c>
      <c r="C176" s="130" t="str">
        <f t="shared" si="39"/>
        <v>×</v>
      </c>
      <c r="D176" s="70"/>
      <c r="E176" s="55"/>
      <c r="F176" s="125">
        <v>7482</v>
      </c>
      <c r="G176" s="53">
        <f t="shared" si="38"/>
        <v>0</v>
      </c>
      <c r="H176" s="53">
        <f t="shared" si="40"/>
        <v>0</v>
      </c>
    </row>
    <row r="177" spans="1:8" ht="13.5" customHeight="1" outlineLevel="1" x14ac:dyDescent="0.2">
      <c r="A177" s="127"/>
      <c r="B177" s="52" t="s">
        <v>95</v>
      </c>
      <c r="C177" s="130" t="str">
        <f t="shared" si="39"/>
        <v>×</v>
      </c>
      <c r="D177" s="70"/>
      <c r="E177" s="55"/>
      <c r="F177" s="125">
        <v>6164</v>
      </c>
      <c r="G177" s="53">
        <f t="shared" si="38"/>
        <v>0</v>
      </c>
      <c r="H177" s="53">
        <f t="shared" si="40"/>
        <v>0</v>
      </c>
    </row>
    <row r="178" spans="1:8" ht="13.5" customHeight="1" outlineLevel="1" x14ac:dyDescent="0.2">
      <c r="A178" s="127"/>
      <c r="B178" s="52" t="s">
        <v>96</v>
      </c>
      <c r="C178" s="130" t="str">
        <f t="shared" si="39"/>
        <v>×</v>
      </c>
      <c r="D178" s="70"/>
      <c r="E178" s="55"/>
      <c r="F178" s="125">
        <v>3561</v>
      </c>
      <c r="G178" s="53">
        <f t="shared" si="38"/>
        <v>0</v>
      </c>
      <c r="H178" s="53">
        <f t="shared" si="40"/>
        <v>0</v>
      </c>
    </row>
    <row r="179" spans="1:8" ht="13.5" customHeight="1" outlineLevel="1" x14ac:dyDescent="0.2">
      <c r="A179" s="127"/>
      <c r="B179" s="52" t="s">
        <v>97</v>
      </c>
      <c r="C179" s="130" t="str">
        <f t="shared" si="39"/>
        <v>×</v>
      </c>
      <c r="D179" s="70"/>
      <c r="E179" s="55"/>
      <c r="F179" s="125">
        <v>2839</v>
      </c>
      <c r="G179" s="53">
        <f t="shared" si="38"/>
        <v>0</v>
      </c>
      <c r="H179" s="53">
        <f t="shared" si="40"/>
        <v>0</v>
      </c>
    </row>
    <row r="180" spans="1:8" ht="13.5" customHeight="1" outlineLevel="1" x14ac:dyDescent="0.2">
      <c r="A180" s="127"/>
      <c r="B180" s="52" t="s">
        <v>100</v>
      </c>
      <c r="C180" s="130" t="str">
        <f t="shared" si="39"/>
        <v>×</v>
      </c>
      <c r="D180" s="70"/>
      <c r="E180" s="55"/>
      <c r="F180" s="125">
        <v>1926</v>
      </c>
      <c r="G180" s="53">
        <f t="shared" si="38"/>
        <v>0</v>
      </c>
      <c r="H180" s="53">
        <f t="shared" si="40"/>
        <v>0</v>
      </c>
    </row>
    <row r="181" spans="1:8" ht="13.5" customHeight="1" outlineLevel="1" x14ac:dyDescent="0.2">
      <c r="A181" s="127"/>
      <c r="B181" s="52" t="s">
        <v>101</v>
      </c>
      <c r="C181" s="130" t="str">
        <f t="shared" si="39"/>
        <v>×</v>
      </c>
      <c r="D181" s="70"/>
      <c r="E181" s="55"/>
      <c r="F181" s="125">
        <v>1500</v>
      </c>
      <c r="G181" s="53">
        <f t="shared" si="38"/>
        <v>0</v>
      </c>
      <c r="H181" s="53">
        <f t="shared" si="40"/>
        <v>0</v>
      </c>
    </row>
    <row r="182" spans="1:8" ht="13.5" customHeight="1" outlineLevel="1" x14ac:dyDescent="0.2">
      <c r="A182" s="127"/>
      <c r="B182" s="52" t="s">
        <v>216</v>
      </c>
      <c r="C182" s="130" t="str">
        <f t="shared" si="39"/>
        <v>×</v>
      </c>
      <c r="D182" s="70"/>
      <c r="E182" s="55"/>
      <c r="F182" s="125">
        <v>1277</v>
      </c>
      <c r="G182" s="53">
        <f t="shared" si="38"/>
        <v>0</v>
      </c>
      <c r="H182" s="53">
        <f t="shared" si="40"/>
        <v>0</v>
      </c>
    </row>
    <row r="183" spans="1:8" ht="13.5" customHeight="1" outlineLevel="1" x14ac:dyDescent="0.2">
      <c r="A183" s="127"/>
      <c r="B183" s="52" t="s">
        <v>102</v>
      </c>
      <c r="C183" s="130" t="str">
        <f t="shared" si="39"/>
        <v>×</v>
      </c>
      <c r="D183" s="70"/>
      <c r="E183" s="55"/>
      <c r="F183" s="125">
        <v>23985</v>
      </c>
      <c r="G183" s="53">
        <f t="shared" si="38"/>
        <v>0</v>
      </c>
      <c r="H183" s="53">
        <f t="shared" si="40"/>
        <v>0</v>
      </c>
    </row>
    <row r="184" spans="1:8" ht="13.5" customHeight="1" outlineLevel="1" x14ac:dyDescent="0.2">
      <c r="A184" s="127"/>
      <c r="B184" s="52" t="s">
        <v>103</v>
      </c>
      <c r="C184" s="130" t="str">
        <f t="shared" si="39"/>
        <v>×</v>
      </c>
      <c r="D184" s="70"/>
      <c r="E184" s="55"/>
      <c r="F184" s="125">
        <v>16449</v>
      </c>
      <c r="G184" s="53">
        <f t="shared" si="38"/>
        <v>0</v>
      </c>
      <c r="H184" s="53">
        <f t="shared" si="40"/>
        <v>0</v>
      </c>
    </row>
    <row r="185" spans="1:8" ht="13.5" customHeight="1" outlineLevel="1" x14ac:dyDescent="0.2">
      <c r="A185" s="127"/>
      <c r="B185" s="52" t="s">
        <v>104</v>
      </c>
      <c r="C185" s="130" t="str">
        <f t="shared" si="39"/>
        <v>×</v>
      </c>
      <c r="D185" s="70"/>
      <c r="E185" s="55"/>
      <c r="F185" s="125">
        <v>15182</v>
      </c>
      <c r="G185" s="53">
        <f t="shared" si="38"/>
        <v>0</v>
      </c>
      <c r="H185" s="53">
        <f t="shared" si="40"/>
        <v>0</v>
      </c>
    </row>
    <row r="186" spans="1:8" ht="13.5" customHeight="1" outlineLevel="1" x14ac:dyDescent="0.2">
      <c r="A186" s="127"/>
      <c r="B186" s="52" t="s">
        <v>105</v>
      </c>
      <c r="C186" s="130" t="str">
        <f t="shared" si="39"/>
        <v>×</v>
      </c>
      <c r="D186" s="70"/>
      <c r="E186" s="55"/>
      <c r="F186" s="125">
        <v>11161</v>
      </c>
      <c r="G186" s="53">
        <f t="shared" si="38"/>
        <v>0</v>
      </c>
      <c r="H186" s="53">
        <f t="shared" si="40"/>
        <v>0</v>
      </c>
    </row>
    <row r="187" spans="1:8" ht="13.5" customHeight="1" outlineLevel="1" x14ac:dyDescent="0.2">
      <c r="A187" s="127"/>
      <c r="B187" s="52" t="s">
        <v>106</v>
      </c>
      <c r="C187" s="130" t="str">
        <f t="shared" si="39"/>
        <v>×</v>
      </c>
      <c r="D187" s="70"/>
      <c r="E187" s="55"/>
      <c r="F187" s="125">
        <v>7865</v>
      </c>
      <c r="G187" s="53">
        <f t="shared" si="38"/>
        <v>0</v>
      </c>
      <c r="H187" s="53">
        <f t="shared" si="40"/>
        <v>0</v>
      </c>
    </row>
    <row r="188" spans="1:8" ht="13.5" customHeight="1" outlineLevel="1" x14ac:dyDescent="0.2">
      <c r="A188" s="127"/>
      <c r="B188" s="52" t="s">
        <v>107</v>
      </c>
      <c r="C188" s="130" t="str">
        <f t="shared" si="39"/>
        <v>×</v>
      </c>
      <c r="D188" s="70"/>
      <c r="E188" s="55"/>
      <c r="F188" s="125">
        <v>5384</v>
      </c>
      <c r="G188" s="53">
        <f t="shared" si="38"/>
        <v>0</v>
      </c>
      <c r="H188" s="53">
        <f t="shared" si="40"/>
        <v>0</v>
      </c>
    </row>
    <row r="189" spans="1:8" ht="13.5" customHeight="1" outlineLevel="1" x14ac:dyDescent="0.2">
      <c r="A189" s="127"/>
      <c r="B189" s="52" t="s">
        <v>108</v>
      </c>
      <c r="C189" s="130" t="str">
        <f t="shared" si="39"/>
        <v>×</v>
      </c>
      <c r="D189" s="70"/>
      <c r="E189" s="55"/>
      <c r="F189" s="125">
        <v>3488</v>
      </c>
      <c r="G189" s="53">
        <f t="shared" si="38"/>
        <v>0</v>
      </c>
      <c r="H189" s="53">
        <f t="shared" si="40"/>
        <v>0</v>
      </c>
    </row>
    <row r="190" spans="1:8" ht="13.5" customHeight="1" outlineLevel="1" x14ac:dyDescent="0.2">
      <c r="A190" s="127"/>
      <c r="B190" s="52" t="s">
        <v>109</v>
      </c>
      <c r="C190" s="130" t="str">
        <f t="shared" si="39"/>
        <v>×</v>
      </c>
      <c r="D190" s="70"/>
      <c r="E190" s="55"/>
      <c r="F190" s="125">
        <v>2716</v>
      </c>
      <c r="G190" s="53">
        <f t="shared" si="38"/>
        <v>0</v>
      </c>
      <c r="H190" s="53">
        <f t="shared" si="40"/>
        <v>0</v>
      </c>
    </row>
    <row r="191" spans="1:8" ht="13.5" customHeight="1" outlineLevel="1" x14ac:dyDescent="0.2">
      <c r="A191" s="127"/>
      <c r="B191" s="52" t="s">
        <v>110</v>
      </c>
      <c r="C191" s="130" t="str">
        <f t="shared" si="39"/>
        <v>×</v>
      </c>
      <c r="D191" s="70"/>
      <c r="E191" s="55"/>
      <c r="F191" s="125">
        <v>2312</v>
      </c>
      <c r="G191" s="53">
        <f t="shared" si="38"/>
        <v>0</v>
      </c>
      <c r="H191" s="53">
        <f t="shared" si="40"/>
        <v>0</v>
      </c>
    </row>
    <row r="192" spans="1:8" ht="13.5" customHeight="1" x14ac:dyDescent="0.2">
      <c r="A192" s="127" t="s">
        <v>299</v>
      </c>
      <c r="B192" s="52" t="s">
        <v>111</v>
      </c>
      <c r="C192" s="57"/>
      <c r="D192" s="74">
        <f>SUM(D193:D202)</f>
        <v>0</v>
      </c>
      <c r="E192" s="74">
        <f>SUM(E193:E202)</f>
        <v>0</v>
      </c>
      <c r="F192" s="111"/>
      <c r="G192" s="53">
        <f>SUM(G193:G202)</f>
        <v>0</v>
      </c>
      <c r="H192" s="53">
        <f>SUM(H193:H202)</f>
        <v>0</v>
      </c>
    </row>
    <row r="193" spans="1:8" ht="13.5" customHeight="1" outlineLevel="1" x14ac:dyDescent="0.2">
      <c r="A193" s="127"/>
      <c r="B193" s="52" t="s">
        <v>112</v>
      </c>
      <c r="C193" s="130" t="str">
        <f t="shared" ref="C193:C202" si="41">IFERROR(E193*1000/D193,"×")</f>
        <v>×</v>
      </c>
      <c r="D193" s="70"/>
      <c r="E193" s="55"/>
      <c r="F193" s="125">
        <v>15848</v>
      </c>
      <c r="G193" s="53">
        <f t="shared" si="38"/>
        <v>0</v>
      </c>
      <c r="H193" s="53">
        <f>F193*G193/1000</f>
        <v>0</v>
      </c>
    </row>
    <row r="194" spans="1:8" ht="13.5" customHeight="1" outlineLevel="1" x14ac:dyDescent="0.2">
      <c r="A194" s="127"/>
      <c r="B194" s="52" t="s">
        <v>113</v>
      </c>
      <c r="C194" s="130" t="str">
        <f t="shared" si="41"/>
        <v>×</v>
      </c>
      <c r="D194" s="70"/>
      <c r="E194" s="55"/>
      <c r="F194" s="125">
        <v>9963</v>
      </c>
      <c r="G194" s="53">
        <f t="shared" si="38"/>
        <v>0</v>
      </c>
      <c r="H194" s="53">
        <f t="shared" ref="H194:H202" si="42">F194*G194/1000</f>
        <v>0</v>
      </c>
    </row>
    <row r="195" spans="1:8" ht="13.5" customHeight="1" outlineLevel="1" x14ac:dyDescent="0.2">
      <c r="A195" s="127"/>
      <c r="B195" s="52" t="s">
        <v>114</v>
      </c>
      <c r="C195" s="130" t="str">
        <f t="shared" si="41"/>
        <v>×</v>
      </c>
      <c r="D195" s="70"/>
      <c r="E195" s="55"/>
      <c r="F195" s="125">
        <v>6622</v>
      </c>
      <c r="G195" s="53">
        <f t="shared" si="38"/>
        <v>0</v>
      </c>
      <c r="H195" s="53">
        <f t="shared" si="42"/>
        <v>0</v>
      </c>
    </row>
    <row r="196" spans="1:8" ht="13.5" customHeight="1" outlineLevel="1" x14ac:dyDescent="0.2">
      <c r="A196" s="127"/>
      <c r="B196" s="52" t="s">
        <v>115</v>
      </c>
      <c r="C196" s="130" t="str">
        <f t="shared" si="41"/>
        <v>×</v>
      </c>
      <c r="D196" s="70"/>
      <c r="E196" s="55"/>
      <c r="F196" s="125">
        <v>5768</v>
      </c>
      <c r="G196" s="53">
        <f t="shared" si="38"/>
        <v>0</v>
      </c>
      <c r="H196" s="53">
        <f t="shared" si="42"/>
        <v>0</v>
      </c>
    </row>
    <row r="197" spans="1:8" ht="13.5" customHeight="1" outlineLevel="1" x14ac:dyDescent="0.2">
      <c r="A197" s="127"/>
      <c r="B197" s="52" t="s">
        <v>215</v>
      </c>
      <c r="C197" s="130" t="str">
        <f t="shared" si="41"/>
        <v>×</v>
      </c>
      <c r="D197" s="70"/>
      <c r="E197" s="55"/>
      <c r="F197" s="125">
        <v>4779</v>
      </c>
      <c r="G197" s="53">
        <f t="shared" si="38"/>
        <v>0</v>
      </c>
      <c r="H197" s="53">
        <f t="shared" si="42"/>
        <v>0</v>
      </c>
    </row>
    <row r="198" spans="1:8" ht="13.5" customHeight="1" outlineLevel="1" x14ac:dyDescent="0.2">
      <c r="A198" s="127"/>
      <c r="B198" s="52" t="s">
        <v>116</v>
      </c>
      <c r="C198" s="130" t="str">
        <f t="shared" si="41"/>
        <v>×</v>
      </c>
      <c r="D198" s="70"/>
      <c r="E198" s="55"/>
      <c r="F198" s="125">
        <v>28698</v>
      </c>
      <c r="G198" s="53">
        <f t="shared" si="38"/>
        <v>0</v>
      </c>
      <c r="H198" s="53">
        <f t="shared" si="42"/>
        <v>0</v>
      </c>
    </row>
    <row r="199" spans="1:8" ht="13.5" customHeight="1" outlineLevel="1" x14ac:dyDescent="0.2">
      <c r="A199" s="127"/>
      <c r="B199" s="52" t="s">
        <v>117</v>
      </c>
      <c r="C199" s="130" t="str">
        <f t="shared" si="41"/>
        <v>×</v>
      </c>
      <c r="D199" s="70"/>
      <c r="E199" s="55"/>
      <c r="F199" s="125">
        <v>24489</v>
      </c>
      <c r="G199" s="53">
        <f t="shared" si="38"/>
        <v>0</v>
      </c>
      <c r="H199" s="53">
        <f t="shared" si="42"/>
        <v>0</v>
      </c>
    </row>
    <row r="200" spans="1:8" ht="13.5" customHeight="1" outlineLevel="1" x14ac:dyDescent="0.2">
      <c r="A200" s="127"/>
      <c r="B200" s="52" t="s">
        <v>118</v>
      </c>
      <c r="C200" s="130" t="str">
        <f t="shared" si="41"/>
        <v>×</v>
      </c>
      <c r="D200" s="70"/>
      <c r="E200" s="55"/>
      <c r="F200" s="125">
        <v>16276</v>
      </c>
      <c r="G200" s="53">
        <f t="shared" si="38"/>
        <v>0</v>
      </c>
      <c r="H200" s="53">
        <f t="shared" si="42"/>
        <v>0</v>
      </c>
    </row>
    <row r="201" spans="1:8" ht="13.5" customHeight="1" outlineLevel="1" x14ac:dyDescent="0.2">
      <c r="A201" s="127"/>
      <c r="B201" s="52" t="s">
        <v>119</v>
      </c>
      <c r="C201" s="130" t="str">
        <f t="shared" si="41"/>
        <v>×</v>
      </c>
      <c r="D201" s="70"/>
      <c r="E201" s="55"/>
      <c r="F201" s="125">
        <v>11213</v>
      </c>
      <c r="G201" s="53">
        <f t="shared" si="38"/>
        <v>0</v>
      </c>
      <c r="H201" s="53">
        <f t="shared" si="42"/>
        <v>0</v>
      </c>
    </row>
    <row r="202" spans="1:8" ht="13.5" customHeight="1" outlineLevel="1" x14ac:dyDescent="0.2">
      <c r="A202" s="127"/>
      <c r="B202" s="52" t="s">
        <v>120</v>
      </c>
      <c r="C202" s="130" t="str">
        <f t="shared" si="41"/>
        <v>×</v>
      </c>
      <c r="D202" s="70"/>
      <c r="E202" s="55"/>
      <c r="F202" s="125">
        <v>9291</v>
      </c>
      <c r="G202" s="53">
        <f t="shared" si="38"/>
        <v>0</v>
      </c>
      <c r="H202" s="53">
        <f t="shared" si="42"/>
        <v>0</v>
      </c>
    </row>
    <row r="203" spans="1:8" ht="18" customHeight="1" x14ac:dyDescent="0.2">
      <c r="A203" s="127" t="s">
        <v>199</v>
      </c>
      <c r="B203" s="105" t="s">
        <v>123</v>
      </c>
      <c r="C203" s="57"/>
      <c r="D203" s="57"/>
      <c r="E203" s="74">
        <v>0</v>
      </c>
      <c r="F203" s="110"/>
      <c r="G203" s="57"/>
      <c r="H203" s="74">
        <v>0</v>
      </c>
    </row>
    <row r="204" spans="1:8" ht="40.5" customHeight="1" x14ac:dyDescent="0.2">
      <c r="A204" s="127" t="s">
        <v>200</v>
      </c>
      <c r="B204" s="52" t="s">
        <v>128</v>
      </c>
      <c r="C204" s="71"/>
      <c r="D204" s="71"/>
      <c r="E204" s="73">
        <f>E7-E203</f>
        <v>0</v>
      </c>
      <c r="F204" s="72"/>
      <c r="G204" s="71"/>
      <c r="H204" s="73">
        <f>H7-H203</f>
        <v>0</v>
      </c>
    </row>
  </sheetData>
  <mergeCells count="7">
    <mergeCell ref="A106:B106"/>
    <mergeCell ref="A2:H2"/>
    <mergeCell ref="A3:A5"/>
    <mergeCell ref="B3:B5"/>
    <mergeCell ref="C3:E3"/>
    <mergeCell ref="F3:H3"/>
    <mergeCell ref="A8:B8"/>
  </mergeCells>
  <pageMargins left="0.78740157480314965" right="0.39370078740157483" top="0.39370078740157483" bottom="0.39370078740157483" header="0.31496062992125984" footer="0.31496062992125984"/>
  <pageSetup paperSize="9" scale="65" fitToHeight="999" orientation="portrait" horizontalDpi="180" verticalDpi="180" r:id="rId1"/>
  <rowBreaks count="3" manualBreakCount="3">
    <brk id="52" max="7" man="1"/>
    <brk id="105" max="7" man="1"/>
    <brk id="17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C2E3C-151F-4CBC-87C3-663E50C05151}">
  <sheetPr>
    <tabColor theme="8" tint="0.59999389629810485"/>
    <pageSetUpPr fitToPage="1"/>
  </sheetPr>
  <dimension ref="A1:U39"/>
  <sheetViews>
    <sheetView view="pageBreakPreview" zoomScale="80" zoomScaleNormal="80" zoomScaleSheetLayoutView="80" workbookViewId="0">
      <selection sqref="A1:T1"/>
    </sheetView>
  </sheetViews>
  <sheetFormatPr defaultColWidth="8.7109375" defaultRowHeight="12.75" outlineLevelRow="1" x14ac:dyDescent="0.2"/>
  <cols>
    <col min="1" max="1" width="5.140625" style="31" customWidth="1"/>
    <col min="2" max="2" width="17.42578125" style="31" customWidth="1"/>
    <col min="3" max="3" width="22.42578125" style="31" customWidth="1"/>
    <col min="4" max="8" width="12.42578125" style="31" customWidth="1"/>
    <col min="9" max="9" width="19.140625" style="30" customWidth="1"/>
    <col min="10" max="10" width="19.85546875" style="30" customWidth="1"/>
    <col min="11" max="11" width="12.28515625" style="32" customWidth="1"/>
    <col min="12" max="13" width="12.28515625" style="30" customWidth="1"/>
    <col min="14" max="14" width="12.85546875" style="30" customWidth="1"/>
    <col min="15" max="15" width="12" style="30" customWidth="1"/>
    <col min="16" max="16" width="12.5703125" style="30" customWidth="1"/>
    <col min="17" max="17" width="12.28515625" style="30" customWidth="1"/>
    <col min="18" max="18" width="12.140625" style="30" customWidth="1"/>
    <col min="19" max="20" width="12.28515625" style="30" customWidth="1"/>
    <col min="21" max="21" width="21.140625" style="30" customWidth="1"/>
    <col min="22" max="16384" width="8.7109375" style="30"/>
  </cols>
  <sheetData>
    <row r="1" spans="1:21" ht="15" customHeight="1" x14ac:dyDescent="0.2">
      <c r="A1" s="194" t="s">
        <v>189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1" ht="26.25" customHeight="1" x14ac:dyDescent="0.2">
      <c r="A2" s="36" t="s">
        <v>129</v>
      </c>
      <c r="B2" s="37"/>
      <c r="C2" s="37"/>
      <c r="D2" s="37"/>
      <c r="E2" s="37"/>
      <c r="F2" s="37"/>
      <c r="G2" s="37"/>
      <c r="H2" s="37"/>
      <c r="I2" s="37"/>
      <c r="J2" s="38"/>
      <c r="K2" s="39"/>
      <c r="L2" s="38"/>
      <c r="M2" s="38"/>
      <c r="N2" s="38"/>
      <c r="O2" s="38"/>
      <c r="P2" s="38"/>
      <c r="Q2" s="38"/>
      <c r="R2" s="199"/>
      <c r="S2" s="199"/>
      <c r="T2" s="199"/>
    </row>
    <row r="3" spans="1:21" ht="27.75" customHeight="1" x14ac:dyDescent="0.2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38"/>
      <c r="R3" s="38"/>
      <c r="S3" s="38"/>
      <c r="T3" s="38"/>
    </row>
    <row r="4" spans="1:21" ht="27" customHeight="1" x14ac:dyDescent="0.2">
      <c r="A4" s="200" t="s">
        <v>252</v>
      </c>
      <c r="B4" s="200"/>
      <c r="C4" s="200"/>
      <c r="D4" s="200"/>
      <c r="E4" s="200"/>
      <c r="F4" s="200"/>
      <c r="G4" s="200"/>
      <c r="H4" s="200"/>
      <c r="I4" s="201" t="s">
        <v>253</v>
      </c>
      <c r="J4" s="201"/>
      <c r="K4" s="201"/>
      <c r="L4" s="201"/>
      <c r="M4" s="201"/>
      <c r="N4" s="201"/>
      <c r="O4" s="201"/>
      <c r="P4" s="201" t="s">
        <v>254</v>
      </c>
      <c r="Q4" s="201"/>
      <c r="R4" s="201"/>
      <c r="S4" s="201"/>
      <c r="T4" s="201"/>
    </row>
    <row r="5" spans="1:21" ht="37.5" customHeight="1" x14ac:dyDescent="0.2">
      <c r="A5" s="202" t="s">
        <v>130</v>
      </c>
      <c r="B5" s="202" t="s">
        <v>131</v>
      </c>
      <c r="C5" s="202"/>
      <c r="D5" s="192" t="s">
        <v>132</v>
      </c>
      <c r="E5" s="192"/>
      <c r="F5" s="192"/>
      <c r="G5" s="192"/>
      <c r="H5" s="192"/>
      <c r="I5" s="191" t="s">
        <v>131</v>
      </c>
      <c r="J5" s="191"/>
      <c r="K5" s="192" t="s">
        <v>132</v>
      </c>
      <c r="L5" s="192"/>
      <c r="M5" s="192"/>
      <c r="N5" s="192"/>
      <c r="O5" s="192"/>
      <c r="P5" s="192" t="s">
        <v>132</v>
      </c>
      <c r="Q5" s="192"/>
      <c r="R5" s="192"/>
      <c r="S5" s="192"/>
      <c r="T5" s="192"/>
    </row>
    <row r="6" spans="1:21" ht="13.5" customHeight="1" x14ac:dyDescent="0.2">
      <c r="A6" s="202"/>
      <c r="B6" s="202"/>
      <c r="C6" s="202"/>
      <c r="D6" s="75" t="s">
        <v>133</v>
      </c>
      <c r="E6" s="75" t="s">
        <v>134</v>
      </c>
      <c r="F6" s="75" t="s">
        <v>135</v>
      </c>
      <c r="G6" s="75" t="s">
        <v>136</v>
      </c>
      <c r="H6" s="75" t="s">
        <v>137</v>
      </c>
      <c r="I6" s="191"/>
      <c r="J6" s="191"/>
      <c r="K6" s="75" t="s">
        <v>133</v>
      </c>
      <c r="L6" s="75" t="s">
        <v>134</v>
      </c>
      <c r="M6" s="75" t="s">
        <v>135</v>
      </c>
      <c r="N6" s="75" t="s">
        <v>136</v>
      </c>
      <c r="O6" s="76" t="s">
        <v>137</v>
      </c>
      <c r="P6" s="75" t="s">
        <v>133</v>
      </c>
      <c r="Q6" s="75" t="s">
        <v>134</v>
      </c>
      <c r="R6" s="75" t="s">
        <v>135</v>
      </c>
      <c r="S6" s="75" t="s">
        <v>136</v>
      </c>
      <c r="T6" s="76" t="s">
        <v>137</v>
      </c>
    </row>
    <row r="7" spans="1:21" ht="17.25" customHeight="1" x14ac:dyDescent="0.2">
      <c r="A7" s="77"/>
      <c r="B7" s="75" t="s">
        <v>138</v>
      </c>
      <c r="C7" s="78" t="s">
        <v>139</v>
      </c>
      <c r="D7" s="75" t="s">
        <v>140</v>
      </c>
      <c r="E7" s="75" t="s">
        <v>140</v>
      </c>
      <c r="F7" s="75" t="s">
        <v>140</v>
      </c>
      <c r="G7" s="75" t="s">
        <v>140</v>
      </c>
      <c r="H7" s="75" t="s">
        <v>140</v>
      </c>
      <c r="I7" s="75" t="s">
        <v>138</v>
      </c>
      <c r="J7" s="78" t="s">
        <v>139</v>
      </c>
      <c r="K7" s="75" t="s">
        <v>140</v>
      </c>
      <c r="L7" s="75" t="s">
        <v>140</v>
      </c>
      <c r="M7" s="75" t="s">
        <v>140</v>
      </c>
      <c r="N7" s="75" t="s">
        <v>140</v>
      </c>
      <c r="O7" s="76" t="s">
        <v>140</v>
      </c>
      <c r="P7" s="79"/>
      <c r="Q7" s="79"/>
      <c r="R7" s="79"/>
      <c r="S7" s="79"/>
      <c r="T7" s="79"/>
    </row>
    <row r="8" spans="1:21" s="31" customFormat="1" ht="22.5" customHeight="1" x14ac:dyDescent="0.2">
      <c r="A8" s="80" t="s">
        <v>70</v>
      </c>
      <c r="B8" s="80"/>
      <c r="C8" s="79"/>
      <c r="D8" s="55"/>
      <c r="E8" s="55"/>
      <c r="F8" s="55"/>
      <c r="G8" s="55"/>
      <c r="H8" s="81">
        <f>SUM(D8:G8)</f>
        <v>0</v>
      </c>
      <c r="I8" s="82"/>
      <c r="J8" s="82"/>
      <c r="K8" s="55"/>
      <c r="L8" s="55"/>
      <c r="M8" s="55"/>
      <c r="N8" s="55"/>
      <c r="O8" s="81">
        <f>SUM(K8:N8)</f>
        <v>0</v>
      </c>
      <c r="P8" s="55"/>
      <c r="Q8" s="55"/>
      <c r="R8" s="55"/>
      <c r="S8" s="55"/>
      <c r="T8" s="81">
        <f>SUM(P8:S8)</f>
        <v>0</v>
      </c>
    </row>
    <row r="9" spans="1:21" s="31" customFormat="1" ht="22.5" customHeight="1" outlineLevel="1" x14ac:dyDescent="0.2">
      <c r="A9" s="80" t="s">
        <v>74</v>
      </c>
      <c r="B9" s="80"/>
      <c r="C9" s="79"/>
      <c r="D9" s="55"/>
      <c r="E9" s="55"/>
      <c r="F9" s="55"/>
      <c r="G9" s="55"/>
      <c r="H9" s="81">
        <f>SUM(D9:G9)</f>
        <v>0</v>
      </c>
      <c r="I9" s="82"/>
      <c r="J9" s="82"/>
      <c r="K9" s="55"/>
      <c r="L9" s="55"/>
      <c r="M9" s="55"/>
      <c r="N9" s="55"/>
      <c r="O9" s="81">
        <f>SUM(K9:N9)</f>
        <v>0</v>
      </c>
      <c r="P9" s="55"/>
      <c r="Q9" s="55"/>
      <c r="R9" s="55"/>
      <c r="S9" s="55"/>
      <c r="T9" s="81">
        <f>SUM(P9:S9)</f>
        <v>0</v>
      </c>
    </row>
    <row r="10" spans="1:21" s="31" customFormat="1" ht="22.5" customHeight="1" outlineLevel="1" x14ac:dyDescent="0.2">
      <c r="A10" s="83" t="s">
        <v>141</v>
      </c>
      <c r="B10" s="80"/>
      <c r="C10" s="79"/>
      <c r="D10" s="55"/>
      <c r="E10" s="55"/>
      <c r="F10" s="55"/>
      <c r="G10" s="55"/>
      <c r="H10" s="81">
        <f>SUM(D10:G10)</f>
        <v>0</v>
      </c>
      <c r="I10" s="82"/>
      <c r="J10" s="82"/>
      <c r="K10" s="55"/>
      <c r="L10" s="55"/>
      <c r="M10" s="55"/>
      <c r="N10" s="55"/>
      <c r="O10" s="81">
        <f>SUM(K10:N10)</f>
        <v>0</v>
      </c>
      <c r="P10" s="55"/>
      <c r="Q10" s="55"/>
      <c r="R10" s="55"/>
      <c r="S10" s="55"/>
      <c r="T10" s="81">
        <f>SUM(P10:S10)</f>
        <v>0</v>
      </c>
    </row>
    <row r="11" spans="1:21" s="31" customFormat="1" ht="65.25" customHeight="1" outlineLevel="1" x14ac:dyDescent="0.2">
      <c r="A11" s="84"/>
      <c r="B11" s="84"/>
      <c r="C11" s="85" t="s">
        <v>142</v>
      </c>
      <c r="D11" s="81">
        <f>SUM(D8:D10)</f>
        <v>0</v>
      </c>
      <c r="E11" s="81">
        <f>SUM(E8:E10)</f>
        <v>0</v>
      </c>
      <c r="F11" s="81">
        <f>SUM(F8:F10)</f>
        <v>0</v>
      </c>
      <c r="G11" s="81">
        <f>SUM(G8:G10)</f>
        <v>0</v>
      </c>
      <c r="H11" s="86">
        <f>SUM(H8:H10)</f>
        <v>0</v>
      </c>
      <c r="I11" s="195"/>
      <c r="J11" s="195"/>
      <c r="K11" s="81">
        <f>SUM(K8:K10)</f>
        <v>0</v>
      </c>
      <c r="L11" s="81">
        <f>SUM(L8:L10)</f>
        <v>0</v>
      </c>
      <c r="M11" s="81">
        <f>SUM(M8:M10)</f>
        <v>0</v>
      </c>
      <c r="N11" s="81">
        <f>SUM(N8:N10)</f>
        <v>0</v>
      </c>
      <c r="O11" s="87">
        <f>SUM(O8:O10)</f>
        <v>0</v>
      </c>
      <c r="P11" s="55"/>
      <c r="Q11" s="55"/>
      <c r="R11" s="55"/>
      <c r="S11" s="55"/>
      <c r="T11" s="87">
        <f>P11+Q11+R11+S11</f>
        <v>0</v>
      </c>
    </row>
    <row r="12" spans="1:21" s="31" customFormat="1" ht="90" customHeight="1" outlineLevel="1" x14ac:dyDescent="0.2">
      <c r="A12" s="84"/>
      <c r="B12" s="84"/>
      <c r="C12" s="85" t="s">
        <v>143</v>
      </c>
      <c r="D12" s="81">
        <f>D11*0.95</f>
        <v>0</v>
      </c>
      <c r="E12" s="81">
        <f>E11*0.95</f>
        <v>0</v>
      </c>
      <c r="F12" s="81">
        <f>F11*0.95</f>
        <v>0</v>
      </c>
      <c r="G12" s="81">
        <f>G11*0.95</f>
        <v>0</v>
      </c>
      <c r="H12" s="86">
        <f>D12+E12+F12+G12</f>
        <v>0</v>
      </c>
      <c r="I12" s="195"/>
      <c r="J12" s="195"/>
      <c r="K12" s="81">
        <f>K11*0.95</f>
        <v>0</v>
      </c>
      <c r="L12" s="81">
        <f>L11*0.95</f>
        <v>0</v>
      </c>
      <c r="M12" s="81">
        <f>M11*0.95</f>
        <v>0</v>
      </c>
      <c r="N12" s="81">
        <f>N11*0.95</f>
        <v>0</v>
      </c>
      <c r="O12" s="86">
        <f>K12+L12+M12+N12</f>
        <v>0</v>
      </c>
      <c r="P12" s="55"/>
      <c r="Q12" s="55"/>
      <c r="R12" s="55"/>
      <c r="S12" s="55"/>
      <c r="T12" s="87">
        <f>P12+Q12+R12+S12</f>
        <v>0</v>
      </c>
    </row>
    <row r="13" spans="1:21" s="31" customFormat="1" ht="17.25" customHeight="1" outlineLevel="1" x14ac:dyDescent="0.2">
      <c r="A13" s="42"/>
      <c r="B13" s="42"/>
      <c r="C13" s="43"/>
      <c r="D13" s="44"/>
      <c r="E13" s="44"/>
      <c r="F13" s="44"/>
      <c r="G13" s="44"/>
      <c r="H13" s="44"/>
      <c r="I13" s="44"/>
      <c r="J13" s="42"/>
      <c r="K13" s="45"/>
      <c r="L13" s="44"/>
      <c r="M13" s="44"/>
      <c r="N13" s="44"/>
      <c r="O13" s="44"/>
      <c r="P13" s="44"/>
      <c r="Q13" s="44"/>
      <c r="R13" s="44"/>
      <c r="S13" s="44"/>
      <c r="T13" s="44"/>
      <c r="U13" s="33"/>
    </row>
    <row r="14" spans="1:21" s="31" customFormat="1" ht="18" customHeight="1" outlineLevel="1" x14ac:dyDescent="0.2">
      <c r="A14" s="42"/>
      <c r="B14" s="42"/>
      <c r="C14" s="43"/>
      <c r="D14" s="44"/>
      <c r="E14" s="44"/>
      <c r="F14" s="44"/>
      <c r="G14" s="44"/>
      <c r="H14" s="46">
        <f>5.5%+2%</f>
        <v>7.4999999999999997E-2</v>
      </c>
      <c r="I14" s="44"/>
      <c r="J14" s="42"/>
      <c r="K14" s="45"/>
      <c r="L14" s="44"/>
      <c r="M14" s="44"/>
      <c r="N14" s="44"/>
      <c r="O14" s="44"/>
      <c r="P14" s="44"/>
      <c r="Q14" s="44"/>
      <c r="R14" s="44"/>
      <c r="S14" s="44"/>
      <c r="T14" s="44"/>
      <c r="U14" s="33"/>
    </row>
    <row r="15" spans="1:21" ht="33.75" customHeight="1" x14ac:dyDescent="0.2">
      <c r="A15" s="37"/>
      <c r="B15" s="196" t="s">
        <v>144</v>
      </c>
      <c r="C15" s="197" t="s">
        <v>145</v>
      </c>
      <c r="D15" s="198" t="s">
        <v>146</v>
      </c>
      <c r="E15" s="198"/>
      <c r="F15" s="198"/>
      <c r="G15" s="198"/>
      <c r="H15" s="198"/>
      <c r="I15" s="38"/>
      <c r="J15" s="38"/>
      <c r="K15" s="39"/>
      <c r="L15" s="38"/>
      <c r="M15" s="38"/>
      <c r="N15" s="38"/>
      <c r="O15" s="38"/>
      <c r="P15" s="38"/>
      <c r="Q15" s="38"/>
      <c r="R15" s="38"/>
      <c r="S15" s="38"/>
      <c r="T15" s="38"/>
    </row>
    <row r="16" spans="1:21" ht="129.75" customHeight="1" x14ac:dyDescent="0.2">
      <c r="A16" s="37"/>
      <c r="B16" s="196"/>
      <c r="C16" s="197"/>
      <c r="D16" s="88" t="s">
        <v>147</v>
      </c>
      <c r="E16" s="88" t="s">
        <v>148</v>
      </c>
      <c r="F16" s="88" t="s">
        <v>149</v>
      </c>
      <c r="G16" s="88" t="s">
        <v>150</v>
      </c>
      <c r="H16" s="88" t="s">
        <v>151</v>
      </c>
      <c r="I16" s="38"/>
      <c r="J16" s="38"/>
      <c r="K16" s="39"/>
      <c r="L16" s="47"/>
      <c r="M16" s="48"/>
      <c r="N16" s="48"/>
      <c r="O16" s="38"/>
      <c r="P16" s="38"/>
      <c r="Q16" s="38"/>
      <c r="R16" s="38"/>
      <c r="S16" s="38"/>
      <c r="T16" s="38"/>
    </row>
    <row r="17" spans="1:20" ht="29.25" customHeight="1" x14ac:dyDescent="0.2">
      <c r="A17" s="37"/>
      <c r="B17" s="89" t="s">
        <v>70</v>
      </c>
      <c r="C17" s="89" t="s">
        <v>255</v>
      </c>
      <c r="D17" s="86">
        <f>D18+D19+D20+D21</f>
        <v>0</v>
      </c>
      <c r="E17" s="86">
        <f>E18+E19+E20+E21</f>
        <v>0</v>
      </c>
      <c r="F17" s="86">
        <f>F18+F19+F20+F21</f>
        <v>0</v>
      </c>
      <c r="G17" s="81">
        <f>G18+G19+G20+G21</f>
        <v>0</v>
      </c>
      <c r="H17" s="86">
        <f>H18+H19+H20+H21</f>
        <v>0</v>
      </c>
      <c r="I17" s="38"/>
      <c r="J17" s="38"/>
      <c r="K17" s="39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8" customHeight="1" x14ac:dyDescent="0.2">
      <c r="A18" s="37"/>
      <c r="B18" s="88" t="s">
        <v>72</v>
      </c>
      <c r="C18" s="88" t="s">
        <v>152</v>
      </c>
      <c r="D18" s="79"/>
      <c r="E18" s="79"/>
      <c r="F18" s="88"/>
      <c r="G18" s="88"/>
      <c r="H18" s="81">
        <f>D18+E18+F18+G18</f>
        <v>0</v>
      </c>
      <c r="I18" s="38"/>
      <c r="J18" s="49"/>
      <c r="K18" s="39"/>
      <c r="L18" s="38"/>
      <c r="M18" s="38"/>
      <c r="N18" s="38"/>
      <c r="O18" s="38"/>
      <c r="P18" s="38"/>
      <c r="Q18" s="38"/>
      <c r="R18" s="38"/>
      <c r="S18" s="38"/>
      <c r="T18" s="38"/>
    </row>
    <row r="19" spans="1:20" ht="18" customHeight="1" x14ac:dyDescent="0.2">
      <c r="A19" s="37"/>
      <c r="B19" s="88" t="s">
        <v>73</v>
      </c>
      <c r="C19" s="88" t="s">
        <v>153</v>
      </c>
      <c r="D19" s="81">
        <f>(D11*0.95)*($H$14/4)</f>
        <v>0</v>
      </c>
      <c r="E19" s="75"/>
      <c r="F19" s="88"/>
      <c r="G19" s="88"/>
      <c r="H19" s="81">
        <f>D19+E19+F19+G19</f>
        <v>0</v>
      </c>
      <c r="I19" s="38"/>
      <c r="J19" s="38"/>
      <c r="K19" s="39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18" customHeight="1" x14ac:dyDescent="0.2">
      <c r="A20" s="37"/>
      <c r="B20" s="88" t="s">
        <v>154</v>
      </c>
      <c r="C20" s="88" t="s">
        <v>155</v>
      </c>
      <c r="D20" s="81">
        <f>$D$11*0.95*(1-1/12)*($H$14/4)</f>
        <v>0</v>
      </c>
      <c r="E20" s="81">
        <f>(E11*0.95)*($H$14/4)</f>
        <v>0</v>
      </c>
      <c r="F20" s="88"/>
      <c r="G20" s="88"/>
      <c r="H20" s="81">
        <f>D20+E20+F20+G20</f>
        <v>0</v>
      </c>
      <c r="I20" s="38"/>
      <c r="J20" s="38"/>
      <c r="K20" s="39"/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18" customHeight="1" x14ac:dyDescent="0.2">
      <c r="A21" s="37"/>
      <c r="B21" s="88" t="s">
        <v>156</v>
      </c>
      <c r="C21" s="88" t="s">
        <v>157</v>
      </c>
      <c r="D21" s="81">
        <f>$D$11*0.95*((1-1/12*2)*($H$14/4))</f>
        <v>0</v>
      </c>
      <c r="E21" s="81">
        <f>E11*0.95*(1-1/12)*($H$14/4)</f>
        <v>0</v>
      </c>
      <c r="F21" s="81">
        <f>($F$11*0.95)*($H$14/4)</f>
        <v>0</v>
      </c>
      <c r="G21" s="75"/>
      <c r="H21" s="81">
        <f>D21+E21+F21+G21</f>
        <v>0</v>
      </c>
      <c r="I21" s="38"/>
      <c r="J21" s="38"/>
      <c r="K21" s="39"/>
      <c r="L21" s="38"/>
      <c r="M21" s="38"/>
      <c r="N21" s="38"/>
      <c r="O21" s="38"/>
      <c r="P21" s="38"/>
      <c r="Q21" s="38"/>
      <c r="R21" s="38"/>
      <c r="S21" s="38"/>
      <c r="T21" s="38"/>
    </row>
    <row r="22" spans="1:20" ht="27.75" customHeight="1" x14ac:dyDescent="0.2">
      <c r="A22" s="37"/>
      <c r="B22" s="89" t="s">
        <v>74</v>
      </c>
      <c r="C22" s="89" t="s">
        <v>256</v>
      </c>
      <c r="D22" s="86">
        <f>D23+D24+D25+D26</f>
        <v>0</v>
      </c>
      <c r="E22" s="86">
        <f>E23+E24+E25+E26</f>
        <v>0</v>
      </c>
      <c r="F22" s="86">
        <f>F23+F24+F25+F26</f>
        <v>0</v>
      </c>
      <c r="G22" s="86">
        <f>G23+G24+G25+G26</f>
        <v>0</v>
      </c>
      <c r="H22" s="86">
        <f>H23+H24+H25+H26</f>
        <v>0</v>
      </c>
      <c r="I22" s="38"/>
      <c r="J22" s="38"/>
      <c r="K22" s="39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18" customHeight="1" x14ac:dyDescent="0.2">
      <c r="A23" s="37"/>
      <c r="B23" s="88" t="s">
        <v>75</v>
      </c>
      <c r="C23" s="88" t="s">
        <v>158</v>
      </c>
      <c r="D23" s="81">
        <f>$D$11*0.95*(1-1/12*3)*($H$14/4)</f>
        <v>0</v>
      </c>
      <c r="E23" s="81">
        <f>$E$11*0.95*(1-1/12*2)*($H$14/4)</f>
        <v>0</v>
      </c>
      <c r="F23" s="81">
        <f>($F$11*0.95*(1-1/12))*($H$14/4)</f>
        <v>0</v>
      </c>
      <c r="G23" s="81">
        <f>$G$11*0.95*$H$14/4</f>
        <v>0</v>
      </c>
      <c r="H23" s="81">
        <f>D23+E23+F23+G23</f>
        <v>0</v>
      </c>
      <c r="I23" s="38"/>
      <c r="J23" s="38"/>
      <c r="K23" s="39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18" customHeight="1" x14ac:dyDescent="0.2">
      <c r="A24" s="37"/>
      <c r="B24" s="88" t="s">
        <v>81</v>
      </c>
      <c r="C24" s="88" t="s">
        <v>159</v>
      </c>
      <c r="D24" s="81">
        <f>$D$11*0.95*(1-1/12*4)*($H$14/4)+$K$11*0.95*$H$14/4</f>
        <v>0</v>
      </c>
      <c r="E24" s="81">
        <f>$E$11*0.95*(1-1/12*3)*($H$14/4)</f>
        <v>0</v>
      </c>
      <c r="F24" s="81">
        <f>($F$11*0.95*(1-1/12*2))*($H$14/4)</f>
        <v>0</v>
      </c>
      <c r="G24" s="81">
        <f>$G$11*0.95*(1-1/12)*$H$14/4</f>
        <v>0</v>
      </c>
      <c r="H24" s="81">
        <f>D24+E24+F24+G24</f>
        <v>0</v>
      </c>
      <c r="I24" s="38"/>
      <c r="J24" s="38"/>
      <c r="K24" s="39"/>
      <c r="L24" s="38"/>
      <c r="M24" s="38"/>
      <c r="N24" s="38"/>
      <c r="O24" s="38"/>
      <c r="P24" s="38"/>
      <c r="Q24" s="38"/>
      <c r="R24" s="38"/>
      <c r="S24" s="38"/>
      <c r="T24" s="38"/>
    </row>
    <row r="25" spans="1:20" ht="18" customHeight="1" x14ac:dyDescent="0.2">
      <c r="A25" s="37"/>
      <c r="B25" s="88" t="s">
        <v>85</v>
      </c>
      <c r="C25" s="88" t="s">
        <v>160</v>
      </c>
      <c r="D25" s="81">
        <f>$D$11*0.95*(1-1/12*5)*($H$14/4)+$K$11*0.95*(1-1/12)*$H$14/4</f>
        <v>0</v>
      </c>
      <c r="E25" s="81">
        <f>$E$11*0.95*(1-1/12*4)*($H$14/4)+$L$11*0.95*$H$14/4</f>
        <v>0</v>
      </c>
      <c r="F25" s="81">
        <f>($F$11*0.95*(1-1/12*3))*($H$14/4)</f>
        <v>0</v>
      </c>
      <c r="G25" s="81">
        <f>$G$11*0.95*(1-1/12*2)*$H$14/4</f>
        <v>0</v>
      </c>
      <c r="H25" s="81">
        <f>D25+E25+F25+G25</f>
        <v>0</v>
      </c>
      <c r="I25" s="38"/>
      <c r="J25" s="38"/>
      <c r="K25" s="39"/>
      <c r="L25" s="38"/>
      <c r="M25" s="38"/>
      <c r="N25" s="38"/>
      <c r="O25" s="38"/>
      <c r="P25" s="38"/>
      <c r="Q25" s="38"/>
      <c r="R25" s="38"/>
      <c r="S25" s="38"/>
      <c r="T25" s="38"/>
    </row>
    <row r="26" spans="1:20" ht="18" customHeight="1" x14ac:dyDescent="0.2">
      <c r="A26" s="37"/>
      <c r="B26" s="88" t="s">
        <v>89</v>
      </c>
      <c r="C26" s="88" t="s">
        <v>161</v>
      </c>
      <c r="D26" s="81">
        <f>$D$11*0.95*(1-1/12*6)*($H$14/4)+$K$11*0.95*(1-1/12*2)*$H$14/4</f>
        <v>0</v>
      </c>
      <c r="E26" s="81">
        <f>$E$11*0.95*(1-1/12*5)*($H$14/4)+$L$11*0.95*(1-1/12)*$H$14/4</f>
        <v>0</v>
      </c>
      <c r="F26" s="81">
        <f>($F$11*0.95*(1-1/12*4))*($H$14/4)+($M$11*0.95)*$H$14/4</f>
        <v>0</v>
      </c>
      <c r="G26" s="81">
        <f>$G$11*0.95*(1-1/12*3)*$H$14/4</f>
        <v>0</v>
      </c>
      <c r="H26" s="81">
        <f>D26+E26+F26+G26</f>
        <v>0</v>
      </c>
      <c r="I26" s="38"/>
      <c r="J26" s="38"/>
      <c r="K26" s="39"/>
      <c r="L26" s="38"/>
      <c r="M26" s="38"/>
      <c r="N26" s="38"/>
      <c r="O26" s="38"/>
      <c r="P26" s="38"/>
      <c r="Q26" s="38"/>
      <c r="R26" s="38"/>
      <c r="S26" s="38"/>
      <c r="T26" s="38"/>
    </row>
    <row r="27" spans="1:20" ht="25.5" customHeight="1" x14ac:dyDescent="0.2">
      <c r="A27" s="37"/>
      <c r="B27" s="89" t="s">
        <v>122</v>
      </c>
      <c r="C27" s="89" t="s">
        <v>257</v>
      </c>
      <c r="D27" s="86">
        <f>D28+D29+D30+D31</f>
        <v>0</v>
      </c>
      <c r="E27" s="86">
        <f>E28+E29+E30+E31</f>
        <v>0</v>
      </c>
      <c r="F27" s="86">
        <f>F28+F29+F30+F31</f>
        <v>0</v>
      </c>
      <c r="G27" s="86">
        <f>G28+G29+G30+G31</f>
        <v>0</v>
      </c>
      <c r="H27" s="86">
        <f>H28+H29+H30+H31</f>
        <v>0</v>
      </c>
      <c r="I27" s="38"/>
      <c r="J27" s="38"/>
      <c r="K27" s="39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18" customHeight="1" x14ac:dyDescent="0.2">
      <c r="A28" s="37"/>
      <c r="B28" s="88" t="s">
        <v>124</v>
      </c>
      <c r="C28" s="88" t="s">
        <v>162</v>
      </c>
      <c r="D28" s="81">
        <f>$D$11*0.95*(1-1/12*7)*($H$14/4)+$K$11*0.95*(1-1/12*3)*$H$14/4</f>
        <v>0</v>
      </c>
      <c r="E28" s="81">
        <f>$E$11*0.95*(1-1/12*6)*($H$14/4)+$L$11*0.95*(1-1/12*2)*$H$14/4</f>
        <v>0</v>
      </c>
      <c r="F28" s="81">
        <f>($F$11*0.95*(1-1/12*5))*($H$14/4)+($M$11*0.95*(1-1/12))*$H$14/4</f>
        <v>0</v>
      </c>
      <c r="G28" s="81">
        <f>$G$11*0.95*(1-1/12*4)*$H$14/4+$N$11*0.95*$H$14/4</f>
        <v>0</v>
      </c>
      <c r="H28" s="81">
        <f>D28+E28+F28+G28</f>
        <v>0</v>
      </c>
      <c r="I28" s="38"/>
      <c r="J28" s="38"/>
      <c r="K28" s="39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18" customHeight="1" x14ac:dyDescent="0.2">
      <c r="A29" s="37"/>
      <c r="B29" s="88" t="s">
        <v>125</v>
      </c>
      <c r="C29" s="88" t="s">
        <v>163</v>
      </c>
      <c r="D29" s="81">
        <f>$D$11*0.95*(1-1/12*8)*($H$14/4)+$K$11*0.95*(1-1/12*4)*$H$14/4+$P$11*0.95*$H$14/4</f>
        <v>0</v>
      </c>
      <c r="E29" s="81">
        <f>$E$11*0.95*(1-1/12*7)*($H$14/4)+$L$11*0.95*(1-1/12*3)*$H$14/4</f>
        <v>0</v>
      </c>
      <c r="F29" s="81">
        <f>($F$11*0.95*(1-1/12*6))*($H$14/4)+($M$11*0.95*(1-1/12*2))*$H$14/4</f>
        <v>0</v>
      </c>
      <c r="G29" s="81">
        <f>$G$11*0.95*(1-1/12*5)*$H$14/4+$N$11*0.95*(1-1/12)*$H$14/4</f>
        <v>0</v>
      </c>
      <c r="H29" s="81">
        <f>D29+E29+F29+G29</f>
        <v>0</v>
      </c>
      <c r="I29" s="38"/>
      <c r="J29" s="38"/>
      <c r="K29" s="39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18" customHeight="1" x14ac:dyDescent="0.2">
      <c r="A30" s="37"/>
      <c r="B30" s="88" t="s">
        <v>164</v>
      </c>
      <c r="C30" s="88" t="s">
        <v>165</v>
      </c>
      <c r="D30" s="81">
        <f>$D$11*0.95*(1-1/12*9)*($H$14/4)+$K$11*0.95*(1-1/12*5)*$H$14/4+$P$11*0.95*(1-1/12)*$H$14/4</f>
        <v>0</v>
      </c>
      <c r="E30" s="81">
        <f>$E$11*0.95*(1-1/12*8)*($H$14/4)+$L$11*0.95*(1-1/12*4)*$H$14/4+$Q$11*0.95*$H$14/4</f>
        <v>0</v>
      </c>
      <c r="F30" s="81">
        <f>($F$11*0.95*(1-1/12*7))*($H$14/4)+($M$11*0.95*(1-1/12*3))*$H$14/4</f>
        <v>0</v>
      </c>
      <c r="G30" s="81">
        <f>$G$11*0.95*(1-1/12*6)*$H$14/4+$N$11*0.95*(1-1/12*2)*$H$14/4</f>
        <v>0</v>
      </c>
      <c r="H30" s="81">
        <f>D30+E30+F30+G30</f>
        <v>0</v>
      </c>
      <c r="I30" s="38"/>
      <c r="J30" s="38"/>
      <c r="K30" s="39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18" customHeight="1" x14ac:dyDescent="0.2">
      <c r="A31" s="37"/>
      <c r="B31" s="88" t="s">
        <v>166</v>
      </c>
      <c r="C31" s="88" t="s">
        <v>167</v>
      </c>
      <c r="D31" s="81">
        <f>$D$11*0.95*(1-1/12*10)*($H$14/4)+$K$11*0.95*(1-1/12*6)*$H$14/4+$P$11*0.95*(1-1/12*2)*$H$14/4</f>
        <v>0</v>
      </c>
      <c r="E31" s="81">
        <f>$E$11*0.95*(1-1/12*9)*($H$14/4)+$L$11*0.95*(1-1/12*5)*$H$14/4+$Q$11*0.95*(1-1/12)*$H$14/4</f>
        <v>0</v>
      </c>
      <c r="F31" s="81">
        <f>($F$11*0.95*(1-1/12*8))*($H$14/4)+($M$11*0.95*(1-1/12*4))*$H$14/4+($R$11*0.95)*$H$14/4</f>
        <v>0</v>
      </c>
      <c r="G31" s="81">
        <f>$G$11*0.95*(1-1/12*7)*$H$14/4+$N$11*0.95*(1-1/12*3)*$H$14/4</f>
        <v>0</v>
      </c>
      <c r="H31" s="81">
        <f>D31+E31+F31+G31</f>
        <v>0</v>
      </c>
      <c r="I31" s="38"/>
      <c r="J31" s="38"/>
      <c r="K31" s="39"/>
      <c r="L31" s="38"/>
      <c r="M31" s="38"/>
      <c r="N31" s="38"/>
      <c r="O31" s="38"/>
      <c r="P31" s="38"/>
      <c r="Q31" s="38"/>
      <c r="R31" s="38"/>
      <c r="S31" s="38"/>
      <c r="T31" s="38"/>
    </row>
    <row r="32" spans="1:20" ht="25.5" customHeight="1" x14ac:dyDescent="0.2">
      <c r="A32" s="37"/>
      <c r="B32" s="89" t="s">
        <v>127</v>
      </c>
      <c r="C32" s="89" t="s">
        <v>258</v>
      </c>
      <c r="D32" s="86">
        <f>D33+D34+D35+D36</f>
        <v>0</v>
      </c>
      <c r="E32" s="86">
        <f>E33+E34+E35+E36</f>
        <v>0</v>
      </c>
      <c r="F32" s="86">
        <f>F33+F34+F35+F36</f>
        <v>0</v>
      </c>
      <c r="G32" s="86">
        <f>G33+G34+G35+G36</f>
        <v>0</v>
      </c>
      <c r="H32" s="86">
        <f>H33+H34+H35+H36</f>
        <v>0</v>
      </c>
      <c r="I32" s="38"/>
      <c r="J32" s="38"/>
      <c r="K32" s="39"/>
      <c r="L32" s="38"/>
      <c r="M32" s="38"/>
      <c r="N32" s="38"/>
      <c r="O32" s="38"/>
      <c r="P32" s="38"/>
      <c r="Q32" s="38"/>
      <c r="R32" s="38"/>
      <c r="S32" s="38"/>
      <c r="T32" s="38"/>
    </row>
    <row r="33" spans="1:20" ht="18" customHeight="1" x14ac:dyDescent="0.2">
      <c r="A33" s="37"/>
      <c r="B33" s="88" t="s">
        <v>168</v>
      </c>
      <c r="C33" s="88" t="s">
        <v>169</v>
      </c>
      <c r="D33" s="81">
        <f>$D$11*0.95*(1-1/12*11)*($H$14/4)+$K$11*0.95*(1-1/12*7)*$H$14/4+$P$11*0.95*(1-1/12*3)*$H$14/4</f>
        <v>0</v>
      </c>
      <c r="E33" s="81">
        <f>$E$11*0.95*(1-1/12*10)*($H$14/4)+$L$11*0.95*(1-1/12*6)*$H$14/4+$Q$11*0.95*(1-1/12*2)*$H$14/4</f>
        <v>0</v>
      </c>
      <c r="F33" s="81">
        <f>($F$11*0.95*(1-1/12*9))*($H$14/4)+($M$11*0.95*(1-1/12*5))*$H$14/4+($R$11*0.95*(1-1/12))*$H$14/4</f>
        <v>0</v>
      </c>
      <c r="G33" s="81">
        <f>$G$11*0.95*(1-1/12*8)*$H$14/4+$N$11*0.95*(1-1/12*4)*$H$14/4+$S$11*0.95*$H$14/4</f>
        <v>0</v>
      </c>
      <c r="H33" s="81">
        <f>D33+E33+F33+G33</f>
        <v>0</v>
      </c>
      <c r="I33" s="38"/>
      <c r="J33" s="38"/>
      <c r="K33" s="39"/>
      <c r="L33" s="38"/>
      <c r="M33" s="38"/>
      <c r="N33" s="38"/>
      <c r="O33" s="38"/>
      <c r="P33" s="38"/>
      <c r="Q33" s="38"/>
      <c r="R33" s="38"/>
      <c r="S33" s="38"/>
      <c r="T33" s="38"/>
    </row>
    <row r="34" spans="1:20" ht="18" customHeight="1" x14ac:dyDescent="0.2">
      <c r="A34" s="37"/>
      <c r="B34" s="88" t="s">
        <v>170</v>
      </c>
      <c r="C34" s="88" t="s">
        <v>171</v>
      </c>
      <c r="D34" s="81">
        <f>$D$11*0.95*(1-1/12*12)*($H$14/4)+$K$11*0.95*(1-1/12*8)*$H$14/4+$P$11*0.95*(1-1/12*4)*$H$14/4+$V$11*0.95*$H$14/4</f>
        <v>0</v>
      </c>
      <c r="E34" s="81">
        <f>$E$11*0.95*(1-1/12*11)*($H$14/4)+$L$11*0.95*(1-1/12*7)*$H$14/4+$Q$11*0.95*(1-1/12*3)*$H$14/4</f>
        <v>0</v>
      </c>
      <c r="F34" s="81">
        <f>($F$11*0.95*(1-1/12*10))*($H$14/4)+($M$11*0.95*(1-1/12*6))*$H$14/4+($R$11*0.95*(1-1/12*2))*$H$14/4</f>
        <v>0</v>
      </c>
      <c r="G34" s="81">
        <f>$G$11*0.95*(1-1/12*9)*$H$14/4+$N$11*0.95*(1-1/12*5)*$H$14/4+$S$11*0.95*(1-1/12)*$H$14/4</f>
        <v>0</v>
      </c>
      <c r="H34" s="81">
        <f>D34+E34+F34+G34</f>
        <v>0</v>
      </c>
      <c r="I34" s="38"/>
      <c r="J34" s="38"/>
      <c r="K34" s="39"/>
      <c r="L34" s="38"/>
      <c r="M34" s="38"/>
      <c r="N34" s="38"/>
      <c r="O34" s="38"/>
      <c r="P34" s="38"/>
      <c r="Q34" s="38"/>
      <c r="R34" s="38"/>
      <c r="S34" s="38"/>
      <c r="T34" s="38"/>
    </row>
    <row r="35" spans="1:20" ht="18" customHeight="1" x14ac:dyDescent="0.2">
      <c r="A35" s="37"/>
      <c r="B35" s="88" t="s">
        <v>172</v>
      </c>
      <c r="C35" s="88" t="s">
        <v>173</v>
      </c>
      <c r="D35" s="81">
        <f>$K$11*0.95*(1-1/12*9)*$H$14/4+$P$11*0.95*(1-1/12*5)*$H$14/4+$V$11*0.95*(1-1/12)*$H$14/4</f>
        <v>0</v>
      </c>
      <c r="E35" s="81">
        <f>$E$11*0.95*(1-1/12*12)*($H$14/4)+$L$11*0.95*(1-1/12*8)*$H$14/4+$Q$11*0.95*(1-1/12*4)*$H$14/4</f>
        <v>0</v>
      </c>
      <c r="F35" s="81">
        <f>($F$11*0.95*(1-1/12*11))*($H$14/4)+($M$11*0.95*(1-1/12*7))*$H$14/4+($R$11*0.95*(1-1/12*3))*$H$14/4</f>
        <v>0</v>
      </c>
      <c r="G35" s="81">
        <f>$G$11*0.95*(1-1/12*10)*$H$14/4+$N$11*0.95*(1-1/12*6)*$H$14/4+$S$11*0.95*(1-1/12*2)*$H$14/4</f>
        <v>0</v>
      </c>
      <c r="H35" s="81">
        <f>D35+E35+F35+G35</f>
        <v>0</v>
      </c>
      <c r="I35" s="38"/>
      <c r="J35" s="38"/>
      <c r="K35" s="39"/>
      <c r="L35" s="38"/>
      <c r="M35" s="38"/>
      <c r="N35" s="38"/>
      <c r="O35" s="38"/>
      <c r="P35" s="38"/>
      <c r="Q35" s="38"/>
      <c r="R35" s="38"/>
      <c r="S35" s="38"/>
      <c r="T35" s="38"/>
    </row>
    <row r="36" spans="1:20" ht="18" customHeight="1" x14ac:dyDescent="0.2">
      <c r="A36" s="37"/>
      <c r="B36" s="88" t="s">
        <v>174</v>
      </c>
      <c r="C36" s="88" t="s">
        <v>175</v>
      </c>
      <c r="D36" s="81">
        <f>$K$11*0.95*(1-1/12*10)*$H$14/4+$P$11*0.95*(1-1/12*6)*$H$14/4+$V$11*0.95*(1-1/12*2)*$H$14/4</f>
        <v>0</v>
      </c>
      <c r="E36" s="81">
        <f>$L$11*0.95*(1-1/12*9)*$H$14/4+$Q$11*0.95*(1-1/12*5)*$H$14/4</f>
        <v>0</v>
      </c>
      <c r="F36" s="81">
        <f>($F$11*0.95*(1-1/12*12))*($H$14/4)+($M$11*0.95*(1-1/12*8))*$H$14/4+($R$11*0.95*(1-1/12*4))*$H$14/4</f>
        <v>0</v>
      </c>
      <c r="G36" s="81">
        <f>$G$11*0.95*(1-1/12*11)*$H$14/4+$N$11*0.95*(1-1/12*7)*$H$14/4+$S$11*0.95*(1-1/12*3)*$H$14/4</f>
        <v>0</v>
      </c>
      <c r="H36" s="81">
        <f>D36+E36+F36+G36</f>
        <v>0</v>
      </c>
      <c r="I36" s="38"/>
      <c r="J36" s="38"/>
      <c r="K36" s="39"/>
      <c r="L36" s="38"/>
      <c r="M36" s="38"/>
      <c r="N36" s="38"/>
      <c r="O36" s="38"/>
      <c r="P36" s="38"/>
      <c r="Q36" s="38"/>
      <c r="R36" s="38"/>
      <c r="S36" s="38"/>
      <c r="T36" s="38"/>
    </row>
    <row r="37" spans="1:20" ht="25.5" customHeight="1" x14ac:dyDescent="0.2">
      <c r="A37" s="37"/>
      <c r="B37" s="89" t="s">
        <v>176</v>
      </c>
      <c r="C37" s="89" t="s">
        <v>177</v>
      </c>
      <c r="D37" s="86">
        <f>D17+D22+D27+D32</f>
        <v>0</v>
      </c>
      <c r="E37" s="86">
        <f>E17+E22+E27+E32</f>
        <v>0</v>
      </c>
      <c r="F37" s="86">
        <f>F17+F22+F27+F32</f>
        <v>0</v>
      </c>
      <c r="G37" s="86">
        <f>G17+G22+G27+G32</f>
        <v>0</v>
      </c>
      <c r="H37" s="86">
        <f>H17+H22+H27+H32</f>
        <v>0</v>
      </c>
      <c r="I37" s="38"/>
      <c r="J37" s="38"/>
      <c r="K37" s="39"/>
      <c r="L37" s="38"/>
      <c r="M37" s="38"/>
      <c r="N37" s="38"/>
      <c r="O37" s="38"/>
      <c r="P37" s="38"/>
      <c r="Q37" s="38"/>
      <c r="R37" s="38"/>
      <c r="S37" s="38"/>
      <c r="T37" s="38"/>
    </row>
    <row r="38" spans="1:20" ht="11.45" customHeight="1" x14ac:dyDescent="0.2">
      <c r="A38" s="37"/>
      <c r="B38" s="37"/>
      <c r="C38" s="37"/>
      <c r="D38" s="37"/>
      <c r="E38" s="37"/>
      <c r="F38" s="37"/>
      <c r="G38" s="37"/>
      <c r="H38" s="37"/>
      <c r="I38" s="38"/>
      <c r="J38" s="38"/>
      <c r="K38" s="39"/>
      <c r="L38" s="38"/>
      <c r="M38" s="38"/>
      <c r="N38" s="38"/>
      <c r="O38" s="38"/>
      <c r="P38" s="38"/>
      <c r="Q38" s="38"/>
      <c r="R38" s="38"/>
      <c r="S38" s="38"/>
      <c r="T38" s="38"/>
    </row>
    <row r="39" spans="1:20" ht="47.25" customHeight="1" x14ac:dyDescent="0.2">
      <c r="A39" s="193" t="s">
        <v>300</v>
      </c>
      <c r="B39" s="193"/>
      <c r="C39" s="193"/>
      <c r="D39" s="193"/>
      <c r="E39" s="193"/>
      <c r="F39" s="193"/>
      <c r="G39" s="193"/>
      <c r="H39" s="193"/>
      <c r="I39" s="38"/>
      <c r="J39" s="38"/>
      <c r="K39" s="39"/>
      <c r="L39" s="38"/>
      <c r="M39" s="38"/>
      <c r="N39" s="38"/>
      <c r="O39" s="38"/>
      <c r="P39" s="38"/>
      <c r="Q39" s="38"/>
      <c r="R39" s="38"/>
      <c r="S39" s="38"/>
      <c r="T39" s="38"/>
    </row>
  </sheetData>
  <mergeCells count="17">
    <mergeCell ref="D5:H5"/>
    <mergeCell ref="I5:J6"/>
    <mergeCell ref="K5:O5"/>
    <mergeCell ref="A39:H39"/>
    <mergeCell ref="A1:T1"/>
    <mergeCell ref="P5:T5"/>
    <mergeCell ref="I11:J11"/>
    <mergeCell ref="I12:J12"/>
    <mergeCell ref="B15:B16"/>
    <mergeCell ref="C15:C16"/>
    <mergeCell ref="D15:H15"/>
    <mergeCell ref="R2:T2"/>
    <mergeCell ref="A4:H4"/>
    <mergeCell ref="I4:O4"/>
    <mergeCell ref="P4:T4"/>
    <mergeCell ref="A5:A6"/>
    <mergeCell ref="B5:C6"/>
  </mergeCells>
  <pageMargins left="0.70866141732283472" right="0.70866141732283472" top="0.74803149606299213" bottom="0.55118110236220474" header="0.31496062992125984" footer="0.31496062992125984"/>
  <pageSetup paperSize="9" scale="48" fitToHeight="999" orientation="landscape" r:id="rId1"/>
  <rowBreaks count="1" manualBreakCount="1">
    <brk id="14" max="1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E343A-28CA-4942-9222-864DC60838EA}">
  <sheetPr>
    <tabColor theme="9" tint="0.59999389629810485"/>
    <pageSetUpPr fitToPage="1"/>
  </sheetPr>
  <dimension ref="A1:AP67"/>
  <sheetViews>
    <sheetView view="pageBreakPreview" zoomScale="130" zoomScaleNormal="70" zoomScaleSheetLayoutView="130" workbookViewId="0">
      <selection activeCell="L49" sqref="L49"/>
    </sheetView>
  </sheetViews>
  <sheetFormatPr defaultRowHeight="12" outlineLevelRow="1" outlineLevelCol="1" x14ac:dyDescent="0.25"/>
  <cols>
    <col min="1" max="1" width="4.85546875" style="135" customWidth="1"/>
    <col min="2" max="2" width="13.28515625" style="136" customWidth="1"/>
    <col min="3" max="3" width="14.42578125" style="137" customWidth="1"/>
    <col min="4" max="4" width="24" style="135" customWidth="1"/>
    <col min="5" max="5" width="31.140625" style="135" customWidth="1"/>
    <col min="6" max="7" width="12.28515625" style="135" customWidth="1"/>
    <col min="8" max="8" width="10" style="135" customWidth="1"/>
    <col min="9" max="9" width="8.85546875" style="138" customWidth="1"/>
    <col min="10" max="10" width="8.85546875" style="138" customWidth="1" outlineLevel="1"/>
    <col min="11" max="11" width="19.140625" style="138" customWidth="1" outlineLevel="1"/>
    <col min="12" max="12" width="14.5703125" style="139" customWidth="1" outlineLevel="1"/>
    <col min="13" max="17" width="13.85546875" style="139" customWidth="1" outlineLevel="1"/>
    <col min="18" max="18" width="18" style="138" customWidth="1"/>
    <col min="19" max="19" width="9.140625" style="135"/>
    <col min="20" max="20" width="12.85546875" style="135" customWidth="1"/>
    <col min="21" max="21" width="12.28515625" style="135" customWidth="1"/>
    <col min="22" max="16384" width="9.140625" style="135"/>
  </cols>
  <sheetData>
    <row r="1" spans="1:19" x14ac:dyDescent="0.25">
      <c r="A1" s="203" t="s">
        <v>306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37"/>
      <c r="N1" s="137"/>
      <c r="O1" s="137"/>
      <c r="P1" s="137"/>
      <c r="Q1" s="137"/>
      <c r="R1" s="165" t="s">
        <v>344</v>
      </c>
    </row>
    <row r="2" spans="1:19" x14ac:dyDescent="0.25">
      <c r="A2" s="140" t="s">
        <v>561</v>
      </c>
      <c r="B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 x14ac:dyDescent="0.25">
      <c r="A3" s="141" t="s">
        <v>340</v>
      </c>
      <c r="B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9" ht="21.75" customHeight="1" x14ac:dyDescent="0.25"/>
    <row r="5" spans="1:19" ht="48.75" customHeight="1" x14ac:dyDescent="0.25">
      <c r="A5" s="204" t="s">
        <v>10</v>
      </c>
      <c r="B5" s="204" t="s">
        <v>307</v>
      </c>
      <c r="C5" s="204"/>
      <c r="D5" s="204" t="s">
        <v>308</v>
      </c>
      <c r="E5" s="204" t="s">
        <v>309</v>
      </c>
      <c r="F5" s="205" t="s">
        <v>310</v>
      </c>
      <c r="G5" s="205" t="s">
        <v>311</v>
      </c>
      <c r="H5" s="205"/>
      <c r="I5" s="206" t="s">
        <v>312</v>
      </c>
      <c r="J5" s="206"/>
      <c r="K5" s="207" t="s">
        <v>313</v>
      </c>
      <c r="L5" s="210" t="s">
        <v>341</v>
      </c>
      <c r="M5" s="211"/>
      <c r="N5" s="211"/>
      <c r="O5" s="211"/>
      <c r="P5" s="211"/>
      <c r="Q5" s="212"/>
      <c r="R5" s="204" t="s">
        <v>314</v>
      </c>
    </row>
    <row r="6" spans="1:19" ht="80.25" customHeight="1" x14ac:dyDescent="0.25">
      <c r="A6" s="204"/>
      <c r="B6" s="216" t="s">
        <v>315</v>
      </c>
      <c r="C6" s="217" t="s">
        <v>316</v>
      </c>
      <c r="D6" s="204"/>
      <c r="E6" s="204"/>
      <c r="F6" s="205"/>
      <c r="G6" s="205" t="s">
        <v>317</v>
      </c>
      <c r="H6" s="205" t="s">
        <v>318</v>
      </c>
      <c r="I6" s="206" t="s">
        <v>319</v>
      </c>
      <c r="J6" s="206" t="s">
        <v>320</v>
      </c>
      <c r="K6" s="208"/>
      <c r="L6" s="204" t="s">
        <v>321</v>
      </c>
      <c r="M6" s="217" t="s">
        <v>322</v>
      </c>
      <c r="N6" s="217" t="s">
        <v>323</v>
      </c>
      <c r="O6" s="217" t="s">
        <v>324</v>
      </c>
      <c r="P6" s="217" t="s">
        <v>325</v>
      </c>
      <c r="Q6" s="217" t="s">
        <v>326</v>
      </c>
      <c r="R6" s="204"/>
    </row>
    <row r="7" spans="1:19" ht="12.75" customHeight="1" x14ac:dyDescent="0.25">
      <c r="A7" s="204"/>
      <c r="B7" s="216"/>
      <c r="C7" s="218"/>
      <c r="D7" s="204"/>
      <c r="E7" s="204"/>
      <c r="F7" s="205"/>
      <c r="G7" s="205"/>
      <c r="H7" s="205"/>
      <c r="I7" s="206"/>
      <c r="J7" s="206"/>
      <c r="K7" s="209"/>
      <c r="L7" s="204"/>
      <c r="M7" s="218"/>
      <c r="N7" s="218"/>
      <c r="O7" s="218"/>
      <c r="P7" s="218"/>
      <c r="Q7" s="218"/>
      <c r="R7" s="204"/>
    </row>
    <row r="8" spans="1:19" ht="23.25" customHeight="1" x14ac:dyDescent="0.25">
      <c r="A8" s="219" t="s">
        <v>327</v>
      </c>
      <c r="B8" s="220"/>
      <c r="C8" s="220"/>
      <c r="D8" s="220"/>
      <c r="E8" s="220"/>
      <c r="F8" s="220"/>
      <c r="G8" s="221"/>
      <c r="H8" s="142"/>
      <c r="I8" s="143">
        <f>SUM(I9,I15,I36)</f>
        <v>148.9</v>
      </c>
      <c r="J8" s="143">
        <f>SUM(J9,J15,J36)</f>
        <v>127.9</v>
      </c>
      <c r="K8" s="144"/>
      <c r="L8" s="143">
        <f>SUM(M8:Q8)</f>
        <v>0</v>
      </c>
      <c r="M8" s="143">
        <f>SUM(M9,M15,M36)</f>
        <v>0</v>
      </c>
      <c r="N8" s="143">
        <f>SUM(N9,N15,N36)</f>
        <v>0</v>
      </c>
      <c r="O8" s="143">
        <f>SUM(O9,O15,O36)</f>
        <v>0</v>
      </c>
      <c r="P8" s="143">
        <f>SUM(P9,P15,P36)</f>
        <v>0</v>
      </c>
      <c r="Q8" s="143">
        <f>SUM(Q9,Q15,Q36)</f>
        <v>0</v>
      </c>
      <c r="R8" s="145"/>
    </row>
    <row r="9" spans="1:19" ht="23.25" customHeight="1" outlineLevel="1" x14ac:dyDescent="0.25">
      <c r="A9" s="213" t="s">
        <v>334</v>
      </c>
      <c r="B9" s="214"/>
      <c r="C9" s="214"/>
      <c r="D9" s="214"/>
      <c r="E9" s="214"/>
      <c r="F9" s="214"/>
      <c r="G9" s="215"/>
      <c r="H9" s="146"/>
      <c r="I9" s="143">
        <f>SUM(I10:I14)</f>
        <v>56.9</v>
      </c>
      <c r="J9" s="143">
        <f>SUM(J10:J14)</f>
        <v>51.9</v>
      </c>
      <c r="K9" s="144"/>
      <c r="L9" s="143">
        <f t="shared" ref="L9:Q9" si="0">SUM(L10:L14)</f>
        <v>0</v>
      </c>
      <c r="M9" s="143">
        <f t="shared" si="0"/>
        <v>0</v>
      </c>
      <c r="N9" s="143">
        <f t="shared" si="0"/>
        <v>0</v>
      </c>
      <c r="O9" s="143">
        <f t="shared" si="0"/>
        <v>0</v>
      </c>
      <c r="P9" s="143">
        <f t="shared" si="0"/>
        <v>0</v>
      </c>
      <c r="Q9" s="143">
        <f t="shared" si="0"/>
        <v>0</v>
      </c>
      <c r="R9" s="144"/>
    </row>
    <row r="10" spans="1:19" s="149" customFormat="1" ht="111.75" customHeight="1" outlineLevel="1" x14ac:dyDescent="0.25">
      <c r="A10" s="147">
        <v>1</v>
      </c>
      <c r="B10" s="150">
        <v>43125</v>
      </c>
      <c r="C10" s="153" t="s">
        <v>375</v>
      </c>
      <c r="D10" s="151" t="s">
        <v>376</v>
      </c>
      <c r="E10" s="151" t="s">
        <v>377</v>
      </c>
      <c r="F10" s="151" t="s">
        <v>328</v>
      </c>
      <c r="G10" s="151" t="s">
        <v>329</v>
      </c>
      <c r="H10" s="151" t="s">
        <v>330</v>
      </c>
      <c r="I10" s="152">
        <v>15</v>
      </c>
      <c r="J10" s="152">
        <v>10</v>
      </c>
      <c r="K10" s="169"/>
      <c r="L10" s="153"/>
      <c r="M10" s="153"/>
      <c r="N10" s="153"/>
      <c r="O10" s="153"/>
      <c r="P10" s="153"/>
      <c r="Q10" s="153"/>
      <c r="R10" s="153" t="s">
        <v>391</v>
      </c>
      <c r="S10" s="149" t="s">
        <v>331</v>
      </c>
    </row>
    <row r="11" spans="1:19" s="149" customFormat="1" ht="60.75" customHeight="1" outlineLevel="1" x14ac:dyDescent="0.25">
      <c r="A11" s="147">
        <v>2</v>
      </c>
      <c r="B11" s="150">
        <v>43185</v>
      </c>
      <c r="C11" s="153" t="s">
        <v>378</v>
      </c>
      <c r="D11" s="151" t="s">
        <v>379</v>
      </c>
      <c r="E11" s="151" t="s">
        <v>380</v>
      </c>
      <c r="F11" s="151" t="s">
        <v>381</v>
      </c>
      <c r="G11" s="151" t="s">
        <v>329</v>
      </c>
      <c r="H11" s="151" t="s">
        <v>330</v>
      </c>
      <c r="I11" s="152">
        <v>5</v>
      </c>
      <c r="J11" s="152">
        <v>5</v>
      </c>
      <c r="K11" s="152"/>
      <c r="L11" s="153"/>
      <c r="M11" s="153"/>
      <c r="N11" s="153"/>
      <c r="O11" s="153"/>
      <c r="P11" s="153"/>
      <c r="Q11" s="153"/>
      <c r="R11" s="153" t="s">
        <v>392</v>
      </c>
    </row>
    <row r="12" spans="1:19" s="149" customFormat="1" ht="69.75" customHeight="1" outlineLevel="1" x14ac:dyDescent="0.25">
      <c r="A12" s="147">
        <v>3</v>
      </c>
      <c r="B12" s="150">
        <v>43391</v>
      </c>
      <c r="C12" s="153" t="s">
        <v>382</v>
      </c>
      <c r="D12" s="151" t="s">
        <v>383</v>
      </c>
      <c r="E12" s="151" t="s">
        <v>384</v>
      </c>
      <c r="F12" s="151" t="s">
        <v>328</v>
      </c>
      <c r="G12" s="151" t="s">
        <v>329</v>
      </c>
      <c r="H12" s="151" t="s">
        <v>330</v>
      </c>
      <c r="I12" s="152">
        <v>15</v>
      </c>
      <c r="J12" s="152">
        <v>15</v>
      </c>
      <c r="K12" s="152"/>
      <c r="L12" s="153"/>
      <c r="M12" s="153"/>
      <c r="N12" s="153"/>
      <c r="O12" s="153"/>
      <c r="P12" s="153"/>
      <c r="Q12" s="153"/>
      <c r="R12" s="153" t="s">
        <v>393</v>
      </c>
    </row>
    <row r="13" spans="1:19" s="149" customFormat="1" ht="51" customHeight="1" outlineLevel="1" x14ac:dyDescent="0.25">
      <c r="A13" s="147">
        <v>4</v>
      </c>
      <c r="B13" s="150">
        <v>43392</v>
      </c>
      <c r="C13" s="153" t="s">
        <v>385</v>
      </c>
      <c r="D13" s="151" t="s">
        <v>386</v>
      </c>
      <c r="E13" s="151" t="s">
        <v>387</v>
      </c>
      <c r="F13" s="151" t="s">
        <v>328</v>
      </c>
      <c r="G13" s="151" t="s">
        <v>329</v>
      </c>
      <c r="H13" s="151" t="s">
        <v>330</v>
      </c>
      <c r="I13" s="152">
        <v>15</v>
      </c>
      <c r="J13" s="152">
        <v>15</v>
      </c>
      <c r="K13" s="152"/>
      <c r="L13" s="153"/>
      <c r="M13" s="153"/>
      <c r="N13" s="153"/>
      <c r="O13" s="153"/>
      <c r="P13" s="153"/>
      <c r="Q13" s="153"/>
      <c r="R13" s="153" t="s">
        <v>394</v>
      </c>
    </row>
    <row r="14" spans="1:19" s="149" customFormat="1" outlineLevel="1" x14ac:dyDescent="0.25">
      <c r="A14" s="147">
        <v>5</v>
      </c>
      <c r="B14" s="150">
        <v>43460</v>
      </c>
      <c r="C14" s="153" t="s">
        <v>388</v>
      </c>
      <c r="D14" s="151" t="s">
        <v>389</v>
      </c>
      <c r="E14" s="151" t="s">
        <v>390</v>
      </c>
      <c r="F14" s="151" t="s">
        <v>328</v>
      </c>
      <c r="G14" s="151" t="s">
        <v>329</v>
      </c>
      <c r="H14" s="151" t="s">
        <v>330</v>
      </c>
      <c r="I14" s="152">
        <v>6.9</v>
      </c>
      <c r="J14" s="152">
        <v>6.9</v>
      </c>
      <c r="K14" s="152"/>
      <c r="L14" s="153"/>
      <c r="M14" s="153"/>
      <c r="N14" s="153"/>
      <c r="O14" s="153"/>
      <c r="P14" s="153"/>
      <c r="Q14" s="153"/>
      <c r="R14" s="153" t="s">
        <v>395</v>
      </c>
    </row>
    <row r="15" spans="1:19" s="149" customFormat="1" ht="23.25" customHeight="1" outlineLevel="1" x14ac:dyDescent="0.25">
      <c r="A15" s="213" t="s">
        <v>342</v>
      </c>
      <c r="B15" s="214"/>
      <c r="C15" s="214"/>
      <c r="D15" s="214"/>
      <c r="E15" s="214"/>
      <c r="F15" s="214"/>
      <c r="G15" s="215"/>
      <c r="H15" s="146"/>
      <c r="I15" s="143">
        <f>SUM(I16:I20)</f>
        <v>17</v>
      </c>
      <c r="J15" s="143">
        <f>SUM(J16:J20)</f>
        <v>17</v>
      </c>
      <c r="K15" s="143"/>
      <c r="L15" s="143">
        <f>SUM(L16:L20)</f>
        <v>0</v>
      </c>
      <c r="M15" s="143">
        <f>SUM(M16:M35)</f>
        <v>0</v>
      </c>
      <c r="N15" s="143">
        <f>SUM(N16:N35)</f>
        <v>0</v>
      </c>
      <c r="O15" s="143">
        <f>SUM(O16:O35)</f>
        <v>0</v>
      </c>
      <c r="P15" s="143">
        <f>SUM(P16:P35)</f>
        <v>0</v>
      </c>
      <c r="Q15" s="143">
        <f>SUM(Q16:Q35)</f>
        <v>0</v>
      </c>
      <c r="R15" s="155"/>
    </row>
    <row r="16" spans="1:19" s="149" customFormat="1" ht="24" outlineLevel="1" x14ac:dyDescent="0.25">
      <c r="A16" s="147">
        <v>1</v>
      </c>
      <c r="B16" s="150">
        <v>43493</v>
      </c>
      <c r="C16" s="151" t="s">
        <v>396</v>
      </c>
      <c r="D16" s="151" t="s">
        <v>397</v>
      </c>
      <c r="E16" s="151" t="s">
        <v>398</v>
      </c>
      <c r="F16" s="151" t="s">
        <v>328</v>
      </c>
      <c r="G16" s="151" t="s">
        <v>329</v>
      </c>
      <c r="H16" s="148" t="s">
        <v>330</v>
      </c>
      <c r="I16" s="152">
        <v>5</v>
      </c>
      <c r="J16" s="152">
        <v>5</v>
      </c>
      <c r="K16" s="152" t="s">
        <v>399</v>
      </c>
      <c r="L16" s="153"/>
      <c r="M16" s="153"/>
      <c r="N16" s="153"/>
      <c r="O16" s="153"/>
      <c r="P16" s="153"/>
      <c r="Q16" s="153"/>
      <c r="R16" s="153" t="s">
        <v>457</v>
      </c>
    </row>
    <row r="17" spans="1:42" s="149" customFormat="1" ht="24" outlineLevel="1" x14ac:dyDescent="0.25">
      <c r="A17" s="147">
        <v>2</v>
      </c>
      <c r="B17" s="150">
        <v>43516</v>
      </c>
      <c r="C17" s="151" t="s">
        <v>400</v>
      </c>
      <c r="D17" s="151" t="s">
        <v>401</v>
      </c>
      <c r="E17" s="151" t="s">
        <v>402</v>
      </c>
      <c r="F17" s="151" t="s">
        <v>328</v>
      </c>
      <c r="G17" s="151" t="s">
        <v>329</v>
      </c>
      <c r="H17" s="148" t="s">
        <v>330</v>
      </c>
      <c r="I17" s="152">
        <v>3</v>
      </c>
      <c r="J17" s="152">
        <v>3</v>
      </c>
      <c r="K17" s="152" t="s">
        <v>399</v>
      </c>
      <c r="L17" s="153"/>
      <c r="M17" s="153"/>
      <c r="N17" s="153"/>
      <c r="O17" s="153"/>
      <c r="P17" s="153"/>
      <c r="Q17" s="153"/>
      <c r="R17" s="153" t="s">
        <v>458</v>
      </c>
      <c r="AP17" s="149" t="s">
        <v>333</v>
      </c>
    </row>
    <row r="18" spans="1:42" s="149" customFormat="1" ht="24" outlineLevel="1" x14ac:dyDescent="0.25">
      <c r="A18" s="147">
        <v>3</v>
      </c>
      <c r="B18" s="150">
        <v>43516</v>
      </c>
      <c r="C18" s="151" t="s">
        <v>403</v>
      </c>
      <c r="D18" s="151" t="s">
        <v>404</v>
      </c>
      <c r="E18" s="151" t="s">
        <v>405</v>
      </c>
      <c r="F18" s="151" t="s">
        <v>328</v>
      </c>
      <c r="G18" s="151" t="s">
        <v>329</v>
      </c>
      <c r="H18" s="148" t="s">
        <v>330</v>
      </c>
      <c r="I18" s="152">
        <v>3</v>
      </c>
      <c r="J18" s="152">
        <v>3</v>
      </c>
      <c r="K18" s="152" t="s">
        <v>399</v>
      </c>
      <c r="L18" s="153"/>
      <c r="M18" s="153"/>
      <c r="N18" s="153"/>
      <c r="O18" s="153"/>
      <c r="P18" s="153"/>
      <c r="Q18" s="153"/>
      <c r="R18" s="153" t="s">
        <v>459</v>
      </c>
    </row>
    <row r="19" spans="1:42" s="149" customFormat="1" ht="24" outlineLevel="1" x14ac:dyDescent="0.25">
      <c r="A19" s="147">
        <v>4</v>
      </c>
      <c r="B19" s="150">
        <v>43517</v>
      </c>
      <c r="C19" s="151" t="s">
        <v>406</v>
      </c>
      <c r="D19" s="151" t="s">
        <v>407</v>
      </c>
      <c r="E19" s="151" t="s">
        <v>408</v>
      </c>
      <c r="F19" s="151" t="s">
        <v>328</v>
      </c>
      <c r="G19" s="151" t="s">
        <v>329</v>
      </c>
      <c r="H19" s="148" t="s">
        <v>330</v>
      </c>
      <c r="I19" s="152">
        <v>3</v>
      </c>
      <c r="J19" s="152">
        <v>3</v>
      </c>
      <c r="K19" s="152" t="s">
        <v>399</v>
      </c>
      <c r="L19" s="153"/>
      <c r="M19" s="153"/>
      <c r="N19" s="153"/>
      <c r="O19" s="153"/>
      <c r="P19" s="153"/>
      <c r="Q19" s="153"/>
      <c r="R19" s="153" t="s">
        <v>460</v>
      </c>
    </row>
    <row r="20" spans="1:42" s="149" customFormat="1" ht="24" outlineLevel="1" x14ac:dyDescent="0.25">
      <c r="A20" s="147">
        <v>5</v>
      </c>
      <c r="B20" s="150">
        <v>43517</v>
      </c>
      <c r="C20" s="151" t="s">
        <v>409</v>
      </c>
      <c r="D20" s="151" t="s">
        <v>410</v>
      </c>
      <c r="E20" s="151" t="s">
        <v>411</v>
      </c>
      <c r="F20" s="151" t="s">
        <v>328</v>
      </c>
      <c r="G20" s="151" t="s">
        <v>329</v>
      </c>
      <c r="H20" s="148" t="s">
        <v>330</v>
      </c>
      <c r="I20" s="152">
        <v>3</v>
      </c>
      <c r="J20" s="152">
        <v>3</v>
      </c>
      <c r="K20" s="152" t="s">
        <v>399</v>
      </c>
      <c r="L20" s="153"/>
      <c r="M20" s="153"/>
      <c r="N20" s="153"/>
      <c r="O20" s="153"/>
      <c r="P20" s="153"/>
      <c r="Q20" s="153"/>
      <c r="R20" s="153" t="s">
        <v>461</v>
      </c>
    </row>
    <row r="21" spans="1:42" s="149" customFormat="1" ht="24" outlineLevel="1" x14ac:dyDescent="0.25">
      <c r="A21" s="147">
        <v>6</v>
      </c>
      <c r="B21" s="150">
        <v>43517</v>
      </c>
      <c r="C21" s="151" t="s">
        <v>412</v>
      </c>
      <c r="D21" s="151" t="s">
        <v>413</v>
      </c>
      <c r="E21" s="151" t="s">
        <v>414</v>
      </c>
      <c r="F21" s="151" t="s">
        <v>328</v>
      </c>
      <c r="G21" s="151" t="s">
        <v>329</v>
      </c>
      <c r="H21" s="148" t="s">
        <v>330</v>
      </c>
      <c r="I21" s="152">
        <v>3</v>
      </c>
      <c r="J21" s="152">
        <v>3</v>
      </c>
      <c r="K21" s="152" t="s">
        <v>399</v>
      </c>
      <c r="L21" s="153"/>
      <c r="M21" s="153"/>
      <c r="N21" s="153"/>
      <c r="O21" s="153"/>
      <c r="P21" s="153"/>
      <c r="Q21" s="153"/>
      <c r="R21" s="153" t="s">
        <v>462</v>
      </c>
    </row>
    <row r="22" spans="1:42" s="149" customFormat="1" ht="24" outlineLevel="1" x14ac:dyDescent="0.25">
      <c r="A22" s="147">
        <v>7</v>
      </c>
      <c r="B22" s="150">
        <v>43521</v>
      </c>
      <c r="C22" s="151" t="s">
        <v>415</v>
      </c>
      <c r="D22" s="151" t="s">
        <v>416</v>
      </c>
      <c r="E22" s="151" t="s">
        <v>417</v>
      </c>
      <c r="F22" s="151" t="s">
        <v>328</v>
      </c>
      <c r="G22" s="151" t="s">
        <v>329</v>
      </c>
      <c r="H22" s="148" t="s">
        <v>330</v>
      </c>
      <c r="I22" s="152">
        <v>3</v>
      </c>
      <c r="J22" s="152">
        <v>3</v>
      </c>
      <c r="K22" s="152" t="s">
        <v>399</v>
      </c>
      <c r="L22" s="153"/>
      <c r="M22" s="153"/>
      <c r="N22" s="153"/>
      <c r="O22" s="153"/>
      <c r="P22" s="153"/>
      <c r="Q22" s="153"/>
      <c r="R22" s="153" t="s">
        <v>463</v>
      </c>
    </row>
    <row r="23" spans="1:42" s="149" customFormat="1" ht="24" outlineLevel="1" x14ac:dyDescent="0.25">
      <c r="A23" s="147">
        <v>8</v>
      </c>
      <c r="B23" s="150">
        <v>43518</v>
      </c>
      <c r="C23" s="151" t="s">
        <v>418</v>
      </c>
      <c r="D23" s="151" t="s">
        <v>419</v>
      </c>
      <c r="E23" s="151" t="s">
        <v>420</v>
      </c>
      <c r="F23" s="151" t="s">
        <v>328</v>
      </c>
      <c r="G23" s="151" t="s">
        <v>329</v>
      </c>
      <c r="H23" s="148" t="s">
        <v>330</v>
      </c>
      <c r="I23" s="152">
        <v>3</v>
      </c>
      <c r="J23" s="152">
        <v>3</v>
      </c>
      <c r="K23" s="152" t="s">
        <v>399</v>
      </c>
      <c r="L23" s="153"/>
      <c r="M23" s="153"/>
      <c r="N23" s="153"/>
      <c r="O23" s="153"/>
      <c r="P23" s="153"/>
      <c r="Q23" s="153"/>
      <c r="R23" s="153" t="s">
        <v>464</v>
      </c>
    </row>
    <row r="24" spans="1:42" s="149" customFormat="1" ht="24" outlineLevel="1" x14ac:dyDescent="0.25">
      <c r="A24" s="147">
        <v>9</v>
      </c>
      <c r="B24" s="150">
        <v>43523</v>
      </c>
      <c r="C24" s="151" t="s">
        <v>421</v>
      </c>
      <c r="D24" s="151" t="s">
        <v>422</v>
      </c>
      <c r="E24" s="151" t="s">
        <v>423</v>
      </c>
      <c r="F24" s="151" t="s">
        <v>328</v>
      </c>
      <c r="G24" s="151" t="s">
        <v>329</v>
      </c>
      <c r="H24" s="148" t="s">
        <v>330</v>
      </c>
      <c r="I24" s="152">
        <v>3</v>
      </c>
      <c r="J24" s="152">
        <v>3</v>
      </c>
      <c r="K24" s="152" t="s">
        <v>399</v>
      </c>
      <c r="L24" s="153"/>
      <c r="M24" s="153"/>
      <c r="N24" s="153"/>
      <c r="O24" s="153"/>
      <c r="P24" s="153"/>
      <c r="Q24" s="153"/>
      <c r="R24" s="153" t="s">
        <v>465</v>
      </c>
    </row>
    <row r="25" spans="1:42" s="149" customFormat="1" ht="24" outlineLevel="1" x14ac:dyDescent="0.25">
      <c r="A25" s="147">
        <v>10</v>
      </c>
      <c r="B25" s="150">
        <v>43521</v>
      </c>
      <c r="C25" s="151" t="s">
        <v>424</v>
      </c>
      <c r="D25" s="151" t="s">
        <v>425</v>
      </c>
      <c r="E25" s="151" t="s">
        <v>426</v>
      </c>
      <c r="F25" s="151" t="s">
        <v>328</v>
      </c>
      <c r="G25" s="151" t="s">
        <v>329</v>
      </c>
      <c r="H25" s="148" t="s">
        <v>330</v>
      </c>
      <c r="I25" s="152">
        <v>3</v>
      </c>
      <c r="J25" s="152">
        <v>3</v>
      </c>
      <c r="K25" s="152" t="s">
        <v>399</v>
      </c>
      <c r="L25" s="153"/>
      <c r="M25" s="153"/>
      <c r="N25" s="153"/>
      <c r="O25" s="153"/>
      <c r="P25" s="153"/>
      <c r="Q25" s="153"/>
      <c r="R25" s="153" t="s">
        <v>466</v>
      </c>
    </row>
    <row r="26" spans="1:42" s="149" customFormat="1" ht="24" outlineLevel="1" x14ac:dyDescent="0.25">
      <c r="A26" s="147">
        <v>11</v>
      </c>
      <c r="B26" s="150">
        <v>43523</v>
      </c>
      <c r="C26" s="151" t="s">
        <v>427</v>
      </c>
      <c r="D26" s="151" t="s">
        <v>428</v>
      </c>
      <c r="E26" s="151" t="s">
        <v>429</v>
      </c>
      <c r="F26" s="151" t="s">
        <v>328</v>
      </c>
      <c r="G26" s="151" t="s">
        <v>329</v>
      </c>
      <c r="H26" s="148" t="s">
        <v>330</v>
      </c>
      <c r="I26" s="152">
        <v>3</v>
      </c>
      <c r="J26" s="152">
        <v>3</v>
      </c>
      <c r="K26" s="152" t="s">
        <v>399</v>
      </c>
      <c r="L26" s="153"/>
      <c r="M26" s="153"/>
      <c r="N26" s="153"/>
      <c r="O26" s="153"/>
      <c r="P26" s="153"/>
      <c r="Q26" s="153"/>
      <c r="R26" s="153" t="s">
        <v>467</v>
      </c>
    </row>
    <row r="27" spans="1:42" s="149" customFormat="1" ht="24" outlineLevel="1" x14ac:dyDescent="0.25">
      <c r="A27" s="147">
        <v>12</v>
      </c>
      <c r="B27" s="150">
        <v>43528</v>
      </c>
      <c r="C27" s="151" t="s">
        <v>430</v>
      </c>
      <c r="D27" s="151" t="s">
        <v>431</v>
      </c>
      <c r="E27" s="151" t="s">
        <v>432</v>
      </c>
      <c r="F27" s="151" t="s">
        <v>328</v>
      </c>
      <c r="G27" s="151" t="s">
        <v>329</v>
      </c>
      <c r="H27" s="148" t="s">
        <v>330</v>
      </c>
      <c r="I27" s="152">
        <v>3</v>
      </c>
      <c r="J27" s="152">
        <v>3</v>
      </c>
      <c r="K27" s="152" t="s">
        <v>399</v>
      </c>
      <c r="L27" s="153"/>
      <c r="M27" s="153"/>
      <c r="N27" s="153"/>
      <c r="O27" s="153"/>
      <c r="P27" s="153"/>
      <c r="Q27" s="153"/>
      <c r="R27" s="153" t="s">
        <v>468</v>
      </c>
    </row>
    <row r="28" spans="1:42" s="149" customFormat="1" ht="72" outlineLevel="1" x14ac:dyDescent="0.25">
      <c r="A28" s="147">
        <v>13</v>
      </c>
      <c r="B28" s="150">
        <v>43549</v>
      </c>
      <c r="C28" s="151" t="s">
        <v>433</v>
      </c>
      <c r="D28" s="151" t="s">
        <v>434</v>
      </c>
      <c r="E28" s="151" t="s">
        <v>435</v>
      </c>
      <c r="F28" s="151" t="s">
        <v>381</v>
      </c>
      <c r="G28" s="151" t="s">
        <v>329</v>
      </c>
      <c r="H28" s="148" t="s">
        <v>330</v>
      </c>
      <c r="I28" s="152">
        <v>5</v>
      </c>
      <c r="J28" s="152">
        <v>5</v>
      </c>
      <c r="K28" s="152" t="s">
        <v>399</v>
      </c>
      <c r="L28" s="153"/>
      <c r="M28" s="153"/>
      <c r="N28" s="153"/>
      <c r="O28" s="153"/>
      <c r="P28" s="153"/>
      <c r="Q28" s="153"/>
      <c r="R28" s="153" t="s">
        <v>469</v>
      </c>
    </row>
    <row r="29" spans="1:42" s="149" customFormat="1" ht="24" outlineLevel="1" x14ac:dyDescent="0.25">
      <c r="A29" s="147">
        <v>14</v>
      </c>
      <c r="B29" s="150">
        <v>43557</v>
      </c>
      <c r="C29" s="151" t="s">
        <v>436</v>
      </c>
      <c r="D29" s="151" t="s">
        <v>437</v>
      </c>
      <c r="E29" s="151" t="s">
        <v>438</v>
      </c>
      <c r="F29" s="151" t="s">
        <v>328</v>
      </c>
      <c r="G29" s="151" t="s">
        <v>329</v>
      </c>
      <c r="H29" s="148" t="s">
        <v>330</v>
      </c>
      <c r="I29" s="152">
        <v>15</v>
      </c>
      <c r="J29" s="152">
        <v>15</v>
      </c>
      <c r="K29" s="152" t="s">
        <v>399</v>
      </c>
      <c r="L29" s="153"/>
      <c r="M29" s="153"/>
      <c r="N29" s="153"/>
      <c r="O29" s="153"/>
      <c r="P29" s="153"/>
      <c r="Q29" s="153"/>
      <c r="R29" s="153" t="s">
        <v>470</v>
      </c>
    </row>
    <row r="30" spans="1:42" s="149" customFormat="1" ht="24" outlineLevel="1" x14ac:dyDescent="0.25">
      <c r="A30" s="147">
        <v>15</v>
      </c>
      <c r="B30" s="150">
        <v>43577</v>
      </c>
      <c r="C30" s="151" t="s">
        <v>439</v>
      </c>
      <c r="D30" s="151" t="s">
        <v>440</v>
      </c>
      <c r="E30" s="151" t="s">
        <v>441</v>
      </c>
      <c r="F30" s="151" t="s">
        <v>328</v>
      </c>
      <c r="G30" s="151" t="s">
        <v>329</v>
      </c>
      <c r="H30" s="148" t="s">
        <v>330</v>
      </c>
      <c r="I30" s="152">
        <v>3</v>
      </c>
      <c r="J30" s="152">
        <v>3</v>
      </c>
      <c r="K30" s="152" t="s">
        <v>399</v>
      </c>
      <c r="L30" s="153"/>
      <c r="M30" s="153"/>
      <c r="N30" s="153"/>
      <c r="O30" s="153"/>
      <c r="P30" s="153"/>
      <c r="Q30" s="153"/>
      <c r="R30" s="153" t="s">
        <v>471</v>
      </c>
    </row>
    <row r="31" spans="1:42" s="149" customFormat="1" ht="24" outlineLevel="1" x14ac:dyDescent="0.25">
      <c r="A31" s="147">
        <v>16</v>
      </c>
      <c r="B31" s="150">
        <v>43635</v>
      </c>
      <c r="C31" s="151" t="s">
        <v>442</v>
      </c>
      <c r="D31" s="151" t="s">
        <v>443</v>
      </c>
      <c r="E31" s="151" t="s">
        <v>444</v>
      </c>
      <c r="F31" s="151" t="s">
        <v>328</v>
      </c>
      <c r="G31" s="151" t="s">
        <v>329</v>
      </c>
      <c r="H31" s="148" t="s">
        <v>330</v>
      </c>
      <c r="I31" s="152">
        <v>3</v>
      </c>
      <c r="J31" s="152">
        <v>3</v>
      </c>
      <c r="K31" s="152" t="s">
        <v>399</v>
      </c>
      <c r="L31" s="153"/>
      <c r="M31" s="153"/>
      <c r="N31" s="153"/>
      <c r="O31" s="153"/>
      <c r="P31" s="153"/>
      <c r="Q31" s="153"/>
      <c r="R31" s="153" t="s">
        <v>472</v>
      </c>
    </row>
    <row r="32" spans="1:42" s="149" customFormat="1" ht="36" outlineLevel="1" x14ac:dyDescent="0.25">
      <c r="A32" s="147">
        <v>17</v>
      </c>
      <c r="B32" s="150">
        <v>43670</v>
      </c>
      <c r="C32" s="151" t="s">
        <v>445</v>
      </c>
      <c r="D32" s="151" t="s">
        <v>446</v>
      </c>
      <c r="E32" s="151" t="s">
        <v>447</v>
      </c>
      <c r="F32" s="151" t="s">
        <v>328</v>
      </c>
      <c r="G32" s="151" t="s">
        <v>329</v>
      </c>
      <c r="H32" s="148" t="s">
        <v>330</v>
      </c>
      <c r="I32" s="152">
        <v>15</v>
      </c>
      <c r="J32" s="152">
        <v>10</v>
      </c>
      <c r="K32" s="152" t="s">
        <v>399</v>
      </c>
      <c r="L32" s="153"/>
      <c r="M32" s="153"/>
      <c r="N32" s="153"/>
      <c r="O32" s="153"/>
      <c r="P32" s="153"/>
      <c r="Q32" s="153"/>
      <c r="R32" s="153" t="s">
        <v>473</v>
      </c>
    </row>
    <row r="33" spans="1:18" s="149" customFormat="1" ht="24" outlineLevel="1" x14ac:dyDescent="0.25">
      <c r="A33" s="147">
        <v>18</v>
      </c>
      <c r="B33" s="150">
        <v>43671</v>
      </c>
      <c r="C33" s="151" t="s">
        <v>448</v>
      </c>
      <c r="D33" s="151" t="s">
        <v>449</v>
      </c>
      <c r="E33" s="151" t="s">
        <v>450</v>
      </c>
      <c r="F33" s="151" t="s">
        <v>328</v>
      </c>
      <c r="G33" s="151" t="s">
        <v>329</v>
      </c>
      <c r="H33" s="148" t="s">
        <v>330</v>
      </c>
      <c r="I33" s="152">
        <v>3</v>
      </c>
      <c r="J33" s="152">
        <v>3</v>
      </c>
      <c r="K33" s="152" t="s">
        <v>399</v>
      </c>
      <c r="L33" s="153"/>
      <c r="M33" s="153"/>
      <c r="N33" s="153"/>
      <c r="O33" s="153"/>
      <c r="P33" s="153"/>
      <c r="Q33" s="153"/>
      <c r="R33" s="153" t="s">
        <v>474</v>
      </c>
    </row>
    <row r="34" spans="1:18" s="149" customFormat="1" ht="60" outlineLevel="1" x14ac:dyDescent="0.25">
      <c r="A34" s="147">
        <v>19</v>
      </c>
      <c r="B34" s="150">
        <v>43710</v>
      </c>
      <c r="C34" s="151" t="s">
        <v>451</v>
      </c>
      <c r="D34" s="151" t="s">
        <v>452</v>
      </c>
      <c r="E34" s="151" t="s">
        <v>453</v>
      </c>
      <c r="F34" s="151" t="s">
        <v>381</v>
      </c>
      <c r="G34" s="151" t="s">
        <v>329</v>
      </c>
      <c r="H34" s="148" t="s">
        <v>330</v>
      </c>
      <c r="I34" s="152">
        <v>5</v>
      </c>
      <c r="J34" s="152">
        <v>5</v>
      </c>
      <c r="K34" s="152" t="s">
        <v>399</v>
      </c>
      <c r="L34" s="153"/>
      <c r="M34" s="153"/>
      <c r="N34" s="153"/>
      <c r="O34" s="153"/>
      <c r="P34" s="153"/>
      <c r="Q34" s="153"/>
      <c r="R34" s="153" t="s">
        <v>475</v>
      </c>
    </row>
    <row r="35" spans="1:18" s="149" customFormat="1" ht="36" outlineLevel="1" x14ac:dyDescent="0.25">
      <c r="A35" s="147">
        <v>20</v>
      </c>
      <c r="B35" s="150">
        <v>43796</v>
      </c>
      <c r="C35" s="151" t="s">
        <v>454</v>
      </c>
      <c r="D35" s="151" t="s">
        <v>455</v>
      </c>
      <c r="E35" s="151" t="s">
        <v>456</v>
      </c>
      <c r="F35" s="151" t="s">
        <v>381</v>
      </c>
      <c r="G35" s="151" t="s">
        <v>329</v>
      </c>
      <c r="H35" s="148" t="s">
        <v>330</v>
      </c>
      <c r="I35" s="152">
        <v>10</v>
      </c>
      <c r="J35" s="152">
        <v>10</v>
      </c>
      <c r="K35" s="152" t="s">
        <v>399</v>
      </c>
      <c r="L35" s="153"/>
      <c r="M35" s="153"/>
      <c r="N35" s="153"/>
      <c r="O35" s="153"/>
      <c r="P35" s="153"/>
      <c r="Q35" s="153"/>
      <c r="R35" s="153" t="s">
        <v>476</v>
      </c>
    </row>
    <row r="36" spans="1:18" s="149" customFormat="1" ht="24" customHeight="1" outlineLevel="1" x14ac:dyDescent="0.25">
      <c r="A36" s="213" t="s">
        <v>343</v>
      </c>
      <c r="B36" s="214"/>
      <c r="C36" s="214"/>
      <c r="D36" s="214"/>
      <c r="E36" s="214"/>
      <c r="F36" s="214"/>
      <c r="G36" s="215"/>
      <c r="H36" s="146"/>
      <c r="I36" s="143">
        <f>SUM(I37:I41)</f>
        <v>75</v>
      </c>
      <c r="J36" s="143">
        <f>SUM(J37:J41)</f>
        <v>59</v>
      </c>
      <c r="K36" s="143"/>
      <c r="L36" s="143">
        <f t="shared" ref="L36:Q36" si="1">SUM(L37:L41)</f>
        <v>0</v>
      </c>
      <c r="M36" s="143">
        <f t="shared" si="1"/>
        <v>0</v>
      </c>
      <c r="N36" s="143">
        <f t="shared" si="1"/>
        <v>0</v>
      </c>
      <c r="O36" s="143">
        <f t="shared" si="1"/>
        <v>0</v>
      </c>
      <c r="P36" s="143">
        <f t="shared" si="1"/>
        <v>0</v>
      </c>
      <c r="Q36" s="143">
        <f t="shared" si="1"/>
        <v>0</v>
      </c>
      <c r="R36" s="155"/>
    </row>
    <row r="37" spans="1:18" s="149" customFormat="1" ht="48" outlineLevel="1" x14ac:dyDescent="0.25">
      <c r="A37" s="147">
        <v>1</v>
      </c>
      <c r="B37" s="150">
        <v>43270</v>
      </c>
      <c r="C37" s="151" t="s">
        <v>477</v>
      </c>
      <c r="D37" s="151" t="s">
        <v>478</v>
      </c>
      <c r="E37" s="151" t="s">
        <v>479</v>
      </c>
      <c r="F37" s="151" t="s">
        <v>381</v>
      </c>
      <c r="G37" s="151" t="s">
        <v>329</v>
      </c>
      <c r="H37" s="148" t="s">
        <v>330</v>
      </c>
      <c r="I37" s="152">
        <v>15</v>
      </c>
      <c r="J37" s="152">
        <v>5</v>
      </c>
      <c r="K37" s="152" t="s">
        <v>399</v>
      </c>
      <c r="L37" s="153"/>
      <c r="M37" s="153"/>
      <c r="N37" s="153"/>
      <c r="O37" s="153"/>
      <c r="P37" s="153"/>
      <c r="Q37" s="153"/>
      <c r="R37" s="153" t="s">
        <v>480</v>
      </c>
    </row>
    <row r="38" spans="1:18" s="149" customFormat="1" ht="48" outlineLevel="1" x14ac:dyDescent="0.25">
      <c r="A38" s="147">
        <v>2</v>
      </c>
      <c r="B38" s="150">
        <v>43489</v>
      </c>
      <c r="C38" s="151" t="s">
        <v>481</v>
      </c>
      <c r="D38" s="151" t="s">
        <v>482</v>
      </c>
      <c r="E38" s="151" t="s">
        <v>483</v>
      </c>
      <c r="F38" s="151" t="s">
        <v>328</v>
      </c>
      <c r="G38" s="151" t="s">
        <v>329</v>
      </c>
      <c r="H38" s="148" t="s">
        <v>330</v>
      </c>
      <c r="I38" s="152">
        <v>15</v>
      </c>
      <c r="J38" s="152">
        <v>15</v>
      </c>
      <c r="K38" s="152" t="s">
        <v>399</v>
      </c>
      <c r="L38" s="153"/>
      <c r="M38" s="153"/>
      <c r="N38" s="153"/>
      <c r="O38" s="153"/>
      <c r="P38" s="153"/>
      <c r="Q38" s="153"/>
      <c r="R38" s="153" t="s">
        <v>484</v>
      </c>
    </row>
    <row r="39" spans="1:18" s="149" customFormat="1" ht="48" outlineLevel="1" x14ac:dyDescent="0.25">
      <c r="A39" s="147">
        <v>3</v>
      </c>
      <c r="B39" s="150">
        <v>43839</v>
      </c>
      <c r="C39" s="151" t="s">
        <v>485</v>
      </c>
      <c r="D39" s="151" t="s">
        <v>486</v>
      </c>
      <c r="E39" s="151" t="s">
        <v>487</v>
      </c>
      <c r="F39" s="151" t="s">
        <v>328</v>
      </c>
      <c r="G39" s="151" t="s">
        <v>329</v>
      </c>
      <c r="H39" s="148" t="s">
        <v>330</v>
      </c>
      <c r="I39" s="152">
        <v>15</v>
      </c>
      <c r="J39" s="152">
        <v>15</v>
      </c>
      <c r="K39" s="152" t="s">
        <v>399</v>
      </c>
      <c r="L39" s="153"/>
      <c r="M39" s="153"/>
      <c r="N39" s="153"/>
      <c r="O39" s="153"/>
      <c r="P39" s="153"/>
      <c r="Q39" s="153"/>
      <c r="R39" s="153" t="s">
        <v>488</v>
      </c>
    </row>
    <row r="40" spans="1:18" s="149" customFormat="1" ht="36" outlineLevel="1" x14ac:dyDescent="0.25">
      <c r="A40" s="147">
        <v>4</v>
      </c>
      <c r="B40" s="150">
        <v>43839</v>
      </c>
      <c r="C40" s="151" t="s">
        <v>489</v>
      </c>
      <c r="D40" s="151" t="s">
        <v>490</v>
      </c>
      <c r="E40" s="151" t="s">
        <v>491</v>
      </c>
      <c r="F40" s="151" t="s">
        <v>328</v>
      </c>
      <c r="G40" s="151" t="s">
        <v>329</v>
      </c>
      <c r="H40" s="148" t="s">
        <v>330</v>
      </c>
      <c r="I40" s="152">
        <v>15</v>
      </c>
      <c r="J40" s="152">
        <v>15</v>
      </c>
      <c r="K40" s="152" t="s">
        <v>399</v>
      </c>
      <c r="L40" s="153"/>
      <c r="M40" s="153"/>
      <c r="N40" s="153"/>
      <c r="O40" s="153"/>
      <c r="P40" s="153"/>
      <c r="Q40" s="153"/>
      <c r="R40" s="153" t="s">
        <v>492</v>
      </c>
    </row>
    <row r="41" spans="1:18" s="149" customFormat="1" outlineLevel="1" x14ac:dyDescent="0.25">
      <c r="A41" s="147">
        <v>5</v>
      </c>
      <c r="B41" s="150">
        <v>43864</v>
      </c>
      <c r="C41" s="151" t="s">
        <v>493</v>
      </c>
      <c r="D41" s="151" t="s">
        <v>494</v>
      </c>
      <c r="E41" s="151" t="s">
        <v>495</v>
      </c>
      <c r="F41" s="151" t="s">
        <v>328</v>
      </c>
      <c r="G41" s="151" t="s">
        <v>329</v>
      </c>
      <c r="H41" s="148" t="s">
        <v>330</v>
      </c>
      <c r="I41" s="152">
        <v>15</v>
      </c>
      <c r="J41" s="152">
        <v>9</v>
      </c>
      <c r="K41" s="152" t="s">
        <v>399</v>
      </c>
      <c r="L41" s="153"/>
      <c r="M41" s="153"/>
      <c r="N41" s="153"/>
      <c r="O41" s="153"/>
      <c r="P41" s="153"/>
      <c r="Q41" s="153"/>
      <c r="R41" s="153" t="s">
        <v>496</v>
      </c>
    </row>
    <row r="42" spans="1:18" s="149" customFormat="1" ht="23.25" customHeight="1" x14ac:dyDescent="0.25">
      <c r="A42" s="222" t="s">
        <v>335</v>
      </c>
      <c r="B42" s="223"/>
      <c r="C42" s="223"/>
      <c r="D42" s="223"/>
      <c r="E42" s="223"/>
      <c r="F42" s="223"/>
      <c r="G42" s="224"/>
      <c r="H42" s="156"/>
      <c r="I42" s="157">
        <f>SUM(I43,I50,I57)</f>
        <v>765</v>
      </c>
      <c r="J42" s="157">
        <f>SUM(J43,J50,J57)</f>
        <v>519.6</v>
      </c>
      <c r="K42" s="158"/>
      <c r="L42" s="157">
        <f t="shared" ref="L42" si="2">SUM(M42:Q42)</f>
        <v>0</v>
      </c>
      <c r="M42" s="157">
        <f>SUM(M43,M50,M57)</f>
        <v>0</v>
      </c>
      <c r="N42" s="157">
        <f>SUM(N43,N50,N57)</f>
        <v>0</v>
      </c>
      <c r="O42" s="157">
        <f>SUM(O43,O50,O57)</f>
        <v>0</v>
      </c>
      <c r="P42" s="157">
        <f>SUM(P43,P50,P57)</f>
        <v>0</v>
      </c>
      <c r="Q42" s="157">
        <f>SUM(Q43,Q50,Q57)</f>
        <v>0</v>
      </c>
      <c r="R42" s="159"/>
    </row>
    <row r="43" spans="1:18" s="149" customFormat="1" ht="23.25" customHeight="1" outlineLevel="1" x14ac:dyDescent="0.25">
      <c r="A43" s="213" t="s">
        <v>334</v>
      </c>
      <c r="B43" s="214"/>
      <c r="C43" s="214"/>
      <c r="D43" s="214"/>
      <c r="E43" s="214"/>
      <c r="F43" s="214"/>
      <c r="G43" s="215"/>
      <c r="H43" s="146"/>
      <c r="I43" s="143">
        <f>SUM(I44:I49)</f>
        <v>205</v>
      </c>
      <c r="J43" s="143">
        <f>SUM(J44:J49)</f>
        <v>130</v>
      </c>
      <c r="K43" s="144"/>
      <c r="L43" s="143">
        <f t="shared" ref="L43:Q43" si="3">SUM(L44:L49)</f>
        <v>0</v>
      </c>
      <c r="M43" s="143">
        <f t="shared" si="3"/>
        <v>0</v>
      </c>
      <c r="N43" s="143">
        <f t="shared" si="3"/>
        <v>0</v>
      </c>
      <c r="O43" s="143">
        <f t="shared" si="3"/>
        <v>0</v>
      </c>
      <c r="P43" s="143">
        <f t="shared" si="3"/>
        <v>0</v>
      </c>
      <c r="Q43" s="143">
        <f t="shared" si="3"/>
        <v>0</v>
      </c>
      <c r="R43" s="144"/>
    </row>
    <row r="44" spans="1:18" s="149" customFormat="1" ht="48" outlineLevel="1" x14ac:dyDescent="0.25">
      <c r="A44" s="147">
        <v>1</v>
      </c>
      <c r="B44" s="150">
        <v>43131</v>
      </c>
      <c r="C44" s="153" t="s">
        <v>497</v>
      </c>
      <c r="D44" s="151" t="s">
        <v>498</v>
      </c>
      <c r="E44" s="151" t="s">
        <v>499</v>
      </c>
      <c r="F44" s="151" t="s">
        <v>381</v>
      </c>
      <c r="G44" s="151" t="s">
        <v>500</v>
      </c>
      <c r="H44" s="151" t="s">
        <v>330</v>
      </c>
      <c r="I44" s="152">
        <v>25</v>
      </c>
      <c r="J44" s="152">
        <v>25</v>
      </c>
      <c r="K44" s="169" t="s">
        <v>399</v>
      </c>
      <c r="L44" s="153"/>
      <c r="M44" s="153"/>
      <c r="N44" s="153"/>
      <c r="O44" s="153"/>
      <c r="P44" s="153"/>
      <c r="Q44" s="153"/>
      <c r="R44" s="153" t="s">
        <v>501</v>
      </c>
    </row>
    <row r="45" spans="1:18" s="149" customFormat="1" ht="60" outlineLevel="1" x14ac:dyDescent="0.25">
      <c r="A45" s="147">
        <v>2</v>
      </c>
      <c r="B45" s="150">
        <v>43159</v>
      </c>
      <c r="C45" s="153" t="s">
        <v>502</v>
      </c>
      <c r="D45" s="151" t="s">
        <v>437</v>
      </c>
      <c r="E45" s="151" t="s">
        <v>503</v>
      </c>
      <c r="F45" s="151" t="s">
        <v>328</v>
      </c>
      <c r="G45" s="151" t="s">
        <v>500</v>
      </c>
      <c r="H45" s="151" t="s">
        <v>330</v>
      </c>
      <c r="I45" s="152">
        <v>20</v>
      </c>
      <c r="J45" s="152">
        <v>20</v>
      </c>
      <c r="K45" s="169" t="s">
        <v>399</v>
      </c>
      <c r="L45" s="153"/>
      <c r="M45" s="153"/>
      <c r="N45" s="153"/>
      <c r="O45" s="153"/>
      <c r="P45" s="153"/>
      <c r="Q45" s="153"/>
      <c r="R45" s="153" t="s">
        <v>504</v>
      </c>
    </row>
    <row r="46" spans="1:18" s="149" customFormat="1" ht="72" outlineLevel="1" x14ac:dyDescent="0.25">
      <c r="A46" s="147">
        <v>3</v>
      </c>
      <c r="B46" s="150">
        <v>43300</v>
      </c>
      <c r="C46" s="153" t="s">
        <v>505</v>
      </c>
      <c r="D46" s="151" t="s">
        <v>506</v>
      </c>
      <c r="E46" s="151" t="s">
        <v>507</v>
      </c>
      <c r="F46" s="151" t="s">
        <v>328</v>
      </c>
      <c r="G46" s="151" t="s">
        <v>500</v>
      </c>
      <c r="H46" s="151" t="s">
        <v>330</v>
      </c>
      <c r="I46" s="152">
        <v>20</v>
      </c>
      <c r="J46" s="152">
        <v>15</v>
      </c>
      <c r="K46" s="169" t="s">
        <v>399</v>
      </c>
      <c r="L46" s="153"/>
      <c r="M46" s="153"/>
      <c r="N46" s="153"/>
      <c r="O46" s="153"/>
      <c r="P46" s="153"/>
      <c r="Q46" s="153"/>
      <c r="R46" s="153" t="s">
        <v>508</v>
      </c>
    </row>
    <row r="47" spans="1:18" ht="72" outlineLevel="1" x14ac:dyDescent="0.25">
      <c r="A47" s="147">
        <v>4</v>
      </c>
      <c r="B47" s="150">
        <v>43314</v>
      </c>
      <c r="C47" s="153" t="s">
        <v>509</v>
      </c>
      <c r="D47" s="151" t="s">
        <v>510</v>
      </c>
      <c r="E47" s="151" t="s">
        <v>511</v>
      </c>
      <c r="F47" s="151" t="s">
        <v>328</v>
      </c>
      <c r="G47" s="151" t="s">
        <v>500</v>
      </c>
      <c r="H47" s="151" t="s">
        <v>330</v>
      </c>
      <c r="I47" s="152">
        <v>40</v>
      </c>
      <c r="J47" s="152">
        <v>30</v>
      </c>
      <c r="K47" s="169" t="s">
        <v>399</v>
      </c>
      <c r="L47" s="153"/>
      <c r="M47" s="153"/>
      <c r="N47" s="153"/>
      <c r="O47" s="153"/>
      <c r="P47" s="153"/>
      <c r="Q47" s="153"/>
      <c r="R47" s="153" t="s">
        <v>512</v>
      </c>
    </row>
    <row r="48" spans="1:18" ht="48" outlineLevel="1" x14ac:dyDescent="0.25">
      <c r="A48" s="147">
        <v>5</v>
      </c>
      <c r="B48" s="150">
        <v>43355</v>
      </c>
      <c r="C48" s="153" t="s">
        <v>513</v>
      </c>
      <c r="D48" s="151" t="s">
        <v>514</v>
      </c>
      <c r="E48" s="151" t="s">
        <v>515</v>
      </c>
      <c r="F48" s="151" t="s">
        <v>328</v>
      </c>
      <c r="G48" s="151" t="s">
        <v>500</v>
      </c>
      <c r="H48" s="151" t="s">
        <v>330</v>
      </c>
      <c r="I48" s="152">
        <v>100</v>
      </c>
      <c r="J48" s="152">
        <v>40</v>
      </c>
      <c r="K48" s="169" t="s">
        <v>399</v>
      </c>
      <c r="L48" s="153"/>
      <c r="M48" s="153"/>
      <c r="N48" s="153"/>
      <c r="O48" s="153"/>
      <c r="P48" s="153"/>
      <c r="Q48" s="153"/>
      <c r="R48" s="153" t="s">
        <v>516</v>
      </c>
    </row>
    <row r="49" spans="1:18" outlineLevel="1" x14ac:dyDescent="0.25">
      <c r="A49" s="154" t="s">
        <v>332</v>
      </c>
      <c r="B49" s="150"/>
      <c r="C49" s="151"/>
      <c r="D49" s="151"/>
      <c r="E49" s="151"/>
      <c r="F49" s="151"/>
      <c r="G49" s="151"/>
      <c r="H49" s="148"/>
      <c r="I49" s="152"/>
      <c r="J49" s="152"/>
      <c r="K49" s="152"/>
      <c r="L49" s="153"/>
      <c r="M49" s="153"/>
      <c r="N49" s="153"/>
      <c r="O49" s="153"/>
      <c r="P49" s="153"/>
      <c r="Q49" s="153"/>
      <c r="R49" s="153"/>
    </row>
    <row r="50" spans="1:18" ht="23.25" customHeight="1" outlineLevel="1" x14ac:dyDescent="0.25">
      <c r="A50" s="213" t="s">
        <v>342</v>
      </c>
      <c r="B50" s="214"/>
      <c r="C50" s="214"/>
      <c r="D50" s="214"/>
      <c r="E50" s="214"/>
      <c r="F50" s="214"/>
      <c r="G50" s="215"/>
      <c r="H50" s="146"/>
      <c r="I50" s="143">
        <f>SUM(I51:I55)</f>
        <v>270</v>
      </c>
      <c r="J50" s="143">
        <f>SUM(J51:J55)</f>
        <v>194.6</v>
      </c>
      <c r="K50" s="143"/>
      <c r="L50" s="143">
        <f>SUM(L51:L55)</f>
        <v>0</v>
      </c>
      <c r="M50" s="143">
        <f>SUM(M51:M56)</f>
        <v>0</v>
      </c>
      <c r="N50" s="143">
        <f>SUM(N51:N56)</f>
        <v>0</v>
      </c>
      <c r="O50" s="143">
        <f>SUM(O51:O56)</f>
        <v>0</v>
      </c>
      <c r="P50" s="143">
        <f>SUM(P51:P56)</f>
        <v>0</v>
      </c>
      <c r="Q50" s="143">
        <f>SUM(Q51:Q56)</f>
        <v>0</v>
      </c>
      <c r="R50" s="155"/>
    </row>
    <row r="51" spans="1:18" ht="24" outlineLevel="1" x14ac:dyDescent="0.25">
      <c r="A51" s="147">
        <v>1</v>
      </c>
      <c r="B51" s="150">
        <v>43549</v>
      </c>
      <c r="C51" s="151" t="s">
        <v>517</v>
      </c>
      <c r="D51" s="151" t="s">
        <v>514</v>
      </c>
      <c r="E51" s="151" t="s">
        <v>518</v>
      </c>
      <c r="F51" s="151" t="s">
        <v>328</v>
      </c>
      <c r="G51" s="151" t="s">
        <v>500</v>
      </c>
      <c r="H51" s="148" t="s">
        <v>330</v>
      </c>
      <c r="I51" s="152">
        <v>100</v>
      </c>
      <c r="J51" s="152">
        <v>70</v>
      </c>
      <c r="K51" s="152" t="s">
        <v>399</v>
      </c>
      <c r="L51" s="153"/>
      <c r="M51" s="153"/>
      <c r="N51" s="153"/>
      <c r="O51" s="153"/>
      <c r="P51" s="153"/>
      <c r="Q51" s="153"/>
      <c r="R51" s="153" t="s">
        <v>519</v>
      </c>
    </row>
    <row r="52" spans="1:18" ht="84" outlineLevel="1" x14ac:dyDescent="0.25">
      <c r="A52" s="147">
        <v>2</v>
      </c>
      <c r="B52" s="150">
        <v>43605</v>
      </c>
      <c r="C52" s="151" t="s">
        <v>520</v>
      </c>
      <c r="D52" s="151" t="s">
        <v>521</v>
      </c>
      <c r="E52" s="151" t="s">
        <v>522</v>
      </c>
      <c r="F52" s="151" t="s">
        <v>328</v>
      </c>
      <c r="G52" s="151" t="s">
        <v>500</v>
      </c>
      <c r="H52" s="148" t="s">
        <v>330</v>
      </c>
      <c r="I52" s="152">
        <v>30</v>
      </c>
      <c r="J52" s="152">
        <v>25.6</v>
      </c>
      <c r="K52" s="152" t="s">
        <v>399</v>
      </c>
      <c r="L52" s="153"/>
      <c r="M52" s="153"/>
      <c r="N52" s="153"/>
      <c r="O52" s="153"/>
      <c r="P52" s="153"/>
      <c r="Q52" s="153"/>
      <c r="R52" s="153" t="s">
        <v>523</v>
      </c>
    </row>
    <row r="53" spans="1:18" ht="36" outlineLevel="1" x14ac:dyDescent="0.25">
      <c r="A53" s="147">
        <v>3</v>
      </c>
      <c r="B53" s="150">
        <v>43613</v>
      </c>
      <c r="C53" s="151" t="s">
        <v>524</v>
      </c>
      <c r="D53" s="151" t="s">
        <v>525</v>
      </c>
      <c r="E53" s="151" t="s">
        <v>526</v>
      </c>
      <c r="F53" s="151" t="s">
        <v>328</v>
      </c>
      <c r="G53" s="151" t="s">
        <v>500</v>
      </c>
      <c r="H53" s="148" t="s">
        <v>330</v>
      </c>
      <c r="I53" s="152">
        <v>45</v>
      </c>
      <c r="J53" s="152">
        <v>45</v>
      </c>
      <c r="K53" s="152" t="s">
        <v>399</v>
      </c>
      <c r="L53" s="153"/>
      <c r="M53" s="153"/>
      <c r="N53" s="153"/>
      <c r="O53" s="153"/>
      <c r="P53" s="153"/>
      <c r="Q53" s="153"/>
      <c r="R53" s="153" t="s">
        <v>527</v>
      </c>
    </row>
    <row r="54" spans="1:18" ht="84" outlineLevel="1" x14ac:dyDescent="0.25">
      <c r="A54" s="147">
        <v>4</v>
      </c>
      <c r="B54" s="150">
        <v>43615</v>
      </c>
      <c r="C54" s="151" t="s">
        <v>528</v>
      </c>
      <c r="D54" s="151" t="s">
        <v>529</v>
      </c>
      <c r="E54" s="151" t="s">
        <v>530</v>
      </c>
      <c r="F54" s="151" t="s">
        <v>328</v>
      </c>
      <c r="G54" s="151" t="s">
        <v>500</v>
      </c>
      <c r="H54" s="148" t="s">
        <v>330</v>
      </c>
      <c r="I54" s="152">
        <v>30</v>
      </c>
      <c r="J54" s="152">
        <v>27</v>
      </c>
      <c r="K54" s="152" t="s">
        <v>399</v>
      </c>
      <c r="L54" s="153"/>
      <c r="M54" s="153"/>
      <c r="N54" s="153"/>
      <c r="O54" s="153"/>
      <c r="P54" s="153"/>
      <c r="Q54" s="153"/>
      <c r="R54" s="153" t="s">
        <v>531</v>
      </c>
    </row>
    <row r="55" spans="1:18" ht="84" outlineLevel="1" x14ac:dyDescent="0.25">
      <c r="A55" s="147">
        <v>5</v>
      </c>
      <c r="B55" s="150">
        <v>43683</v>
      </c>
      <c r="C55" s="151" t="s">
        <v>532</v>
      </c>
      <c r="D55" s="151" t="s">
        <v>533</v>
      </c>
      <c r="E55" s="151" t="s">
        <v>534</v>
      </c>
      <c r="F55" s="151" t="s">
        <v>328</v>
      </c>
      <c r="G55" s="151" t="s">
        <v>500</v>
      </c>
      <c r="H55" s="148" t="s">
        <v>330</v>
      </c>
      <c r="I55" s="152">
        <v>65</v>
      </c>
      <c r="J55" s="152">
        <v>27</v>
      </c>
      <c r="K55" s="152" t="s">
        <v>399</v>
      </c>
      <c r="L55" s="153"/>
      <c r="M55" s="153"/>
      <c r="N55" s="153"/>
      <c r="O55" s="153"/>
      <c r="P55" s="153"/>
      <c r="Q55" s="153"/>
      <c r="R55" s="153" t="s">
        <v>535</v>
      </c>
    </row>
    <row r="56" spans="1:18" ht="36" outlineLevel="1" x14ac:dyDescent="0.25">
      <c r="A56" s="147">
        <v>6</v>
      </c>
      <c r="B56" s="150">
        <v>43788</v>
      </c>
      <c r="C56" s="151" t="s">
        <v>536</v>
      </c>
      <c r="D56" s="151" t="s">
        <v>537</v>
      </c>
      <c r="E56" s="151" t="s">
        <v>538</v>
      </c>
      <c r="F56" s="151" t="s">
        <v>328</v>
      </c>
      <c r="G56" s="151" t="s">
        <v>500</v>
      </c>
      <c r="H56" s="148" t="s">
        <v>330</v>
      </c>
      <c r="I56" s="152">
        <v>63</v>
      </c>
      <c r="J56" s="152">
        <v>50</v>
      </c>
      <c r="K56" s="152" t="s">
        <v>399</v>
      </c>
      <c r="L56" s="153"/>
      <c r="M56" s="153"/>
      <c r="N56" s="153"/>
      <c r="O56" s="153"/>
      <c r="P56" s="153"/>
      <c r="Q56" s="153"/>
      <c r="R56" s="153" t="s">
        <v>539</v>
      </c>
    </row>
    <row r="57" spans="1:18" ht="23.25" customHeight="1" outlineLevel="1" x14ac:dyDescent="0.25">
      <c r="A57" s="213" t="s">
        <v>343</v>
      </c>
      <c r="B57" s="214"/>
      <c r="C57" s="214"/>
      <c r="D57" s="214"/>
      <c r="E57" s="214"/>
      <c r="F57" s="214"/>
      <c r="G57" s="215"/>
      <c r="H57" s="146"/>
      <c r="I57" s="143">
        <f>SUM(I58:I62)</f>
        <v>290</v>
      </c>
      <c r="J57" s="143">
        <f>SUM(J58:J62)</f>
        <v>195</v>
      </c>
      <c r="K57" s="143"/>
      <c r="L57" s="143">
        <f>SUM(L58:L62)</f>
        <v>0</v>
      </c>
      <c r="M57" s="143">
        <f>SUM(M58:M63)</f>
        <v>0</v>
      </c>
      <c r="N57" s="143">
        <f>SUM(N58:N63)</f>
        <v>0</v>
      </c>
      <c r="O57" s="143">
        <f>SUM(O58:O63)</f>
        <v>0</v>
      </c>
      <c r="P57" s="143">
        <f>SUM(P58:P63)</f>
        <v>0</v>
      </c>
      <c r="Q57" s="143">
        <f>SUM(Q58:Q63)</f>
        <v>0</v>
      </c>
      <c r="R57" s="155"/>
    </row>
    <row r="58" spans="1:18" ht="48" outlineLevel="1" x14ac:dyDescent="0.25">
      <c r="A58" s="147">
        <v>1</v>
      </c>
      <c r="B58" s="150">
        <v>43733</v>
      </c>
      <c r="C58" s="170" t="s">
        <v>540</v>
      </c>
      <c r="D58" s="151" t="s">
        <v>482</v>
      </c>
      <c r="E58" s="151" t="s">
        <v>541</v>
      </c>
      <c r="F58" s="151" t="s">
        <v>381</v>
      </c>
      <c r="G58" s="151" t="s">
        <v>500</v>
      </c>
      <c r="H58" s="148" t="s">
        <v>330</v>
      </c>
      <c r="I58" s="152">
        <v>40</v>
      </c>
      <c r="J58" s="152">
        <v>40</v>
      </c>
      <c r="K58" s="152" t="s">
        <v>399</v>
      </c>
      <c r="L58" s="153"/>
      <c r="M58" s="153"/>
      <c r="N58" s="153"/>
      <c r="O58" s="153"/>
      <c r="P58" s="153"/>
      <c r="Q58" s="153"/>
      <c r="R58" s="153" t="s">
        <v>542</v>
      </c>
    </row>
    <row r="59" spans="1:18" ht="60" outlineLevel="1" x14ac:dyDescent="0.25">
      <c r="A59" s="147">
        <v>2</v>
      </c>
      <c r="B59" s="150">
        <v>43867</v>
      </c>
      <c r="C59" s="170" t="s">
        <v>543</v>
      </c>
      <c r="D59" s="151" t="s">
        <v>498</v>
      </c>
      <c r="E59" s="151" t="s">
        <v>544</v>
      </c>
      <c r="F59" s="151" t="s">
        <v>381</v>
      </c>
      <c r="G59" s="151" t="s">
        <v>500</v>
      </c>
      <c r="H59" s="148" t="s">
        <v>330</v>
      </c>
      <c r="I59" s="152">
        <v>80</v>
      </c>
      <c r="J59" s="152">
        <v>80</v>
      </c>
      <c r="K59" s="152" t="s">
        <v>399</v>
      </c>
      <c r="L59" s="153"/>
      <c r="M59" s="153"/>
      <c r="N59" s="153"/>
      <c r="O59" s="153"/>
      <c r="P59" s="153"/>
      <c r="Q59" s="153"/>
      <c r="R59" s="153" t="s">
        <v>545</v>
      </c>
    </row>
    <row r="60" spans="1:18" ht="36" outlineLevel="1" x14ac:dyDescent="0.25">
      <c r="A60" s="147">
        <v>3</v>
      </c>
      <c r="B60" s="150">
        <v>44005</v>
      </c>
      <c r="C60" s="170" t="s">
        <v>546</v>
      </c>
      <c r="D60" s="151" t="s">
        <v>547</v>
      </c>
      <c r="E60" s="151" t="s">
        <v>548</v>
      </c>
      <c r="F60" s="151" t="s">
        <v>328</v>
      </c>
      <c r="G60" s="151" t="s">
        <v>500</v>
      </c>
      <c r="H60" s="148" t="s">
        <v>330</v>
      </c>
      <c r="I60" s="152">
        <v>75</v>
      </c>
      <c r="J60" s="152">
        <v>30</v>
      </c>
      <c r="K60" s="152" t="s">
        <v>399</v>
      </c>
      <c r="L60" s="153"/>
      <c r="M60" s="153"/>
      <c r="N60" s="153"/>
      <c r="O60" s="153"/>
      <c r="P60" s="153"/>
      <c r="Q60" s="153"/>
      <c r="R60" s="153" t="s">
        <v>549</v>
      </c>
    </row>
    <row r="61" spans="1:18" ht="36" outlineLevel="1" x14ac:dyDescent="0.25">
      <c r="A61" s="147">
        <v>4</v>
      </c>
      <c r="B61" s="150">
        <v>44005</v>
      </c>
      <c r="C61" s="170" t="s">
        <v>550</v>
      </c>
      <c r="D61" s="151" t="s">
        <v>551</v>
      </c>
      <c r="E61" s="151" t="s">
        <v>552</v>
      </c>
      <c r="F61" s="151" t="s">
        <v>328</v>
      </c>
      <c r="G61" s="151" t="s">
        <v>500</v>
      </c>
      <c r="H61" s="148" t="s">
        <v>330</v>
      </c>
      <c r="I61" s="152">
        <v>70</v>
      </c>
      <c r="J61" s="152">
        <v>20</v>
      </c>
      <c r="K61" s="152" t="s">
        <v>399</v>
      </c>
      <c r="L61" s="153"/>
      <c r="M61" s="153"/>
      <c r="N61" s="153"/>
      <c r="O61" s="153"/>
      <c r="P61" s="153"/>
      <c r="Q61" s="153"/>
      <c r="R61" s="153" t="s">
        <v>553</v>
      </c>
    </row>
    <row r="62" spans="1:18" ht="36" outlineLevel="1" x14ac:dyDescent="0.25">
      <c r="A62" s="147">
        <v>5</v>
      </c>
      <c r="B62" s="150">
        <v>44103</v>
      </c>
      <c r="C62" s="170" t="s">
        <v>554</v>
      </c>
      <c r="D62" s="151" t="s">
        <v>555</v>
      </c>
      <c r="E62" s="151" t="s">
        <v>556</v>
      </c>
      <c r="F62" s="151" t="s">
        <v>328</v>
      </c>
      <c r="G62" s="151" t="s">
        <v>500</v>
      </c>
      <c r="H62" s="148" t="s">
        <v>330</v>
      </c>
      <c r="I62" s="152">
        <v>25</v>
      </c>
      <c r="J62" s="152">
        <v>25</v>
      </c>
      <c r="K62" s="152" t="s">
        <v>399</v>
      </c>
      <c r="L62" s="153"/>
      <c r="M62" s="153"/>
      <c r="N62" s="153"/>
      <c r="O62" s="153"/>
      <c r="P62" s="153"/>
      <c r="Q62" s="153"/>
      <c r="R62" s="153" t="s">
        <v>557</v>
      </c>
    </row>
    <row r="63" spans="1:18" ht="72" outlineLevel="1" x14ac:dyDescent="0.25">
      <c r="A63" s="147">
        <v>6</v>
      </c>
      <c r="B63" s="150">
        <v>44118</v>
      </c>
      <c r="C63" s="170" t="s">
        <v>558</v>
      </c>
      <c r="D63" s="151" t="s">
        <v>478</v>
      </c>
      <c r="E63" s="151" t="s">
        <v>559</v>
      </c>
      <c r="F63" s="151" t="s">
        <v>328</v>
      </c>
      <c r="G63" s="151" t="s">
        <v>500</v>
      </c>
      <c r="H63" s="148" t="s">
        <v>330</v>
      </c>
      <c r="I63" s="152">
        <v>30</v>
      </c>
      <c r="J63" s="152">
        <v>30</v>
      </c>
      <c r="K63" s="152" t="s">
        <v>399</v>
      </c>
      <c r="L63" s="153"/>
      <c r="M63" s="153"/>
      <c r="N63" s="153"/>
      <c r="O63" s="153"/>
      <c r="P63" s="153"/>
      <c r="Q63" s="153"/>
      <c r="R63" s="153" t="s">
        <v>560</v>
      </c>
    </row>
    <row r="66" spans="1:4" x14ac:dyDescent="0.2">
      <c r="A66" s="160" t="s">
        <v>336</v>
      </c>
      <c r="B66" s="161" t="s">
        <v>337</v>
      </c>
      <c r="C66" s="161"/>
      <c r="D66" s="162"/>
    </row>
    <row r="67" spans="1:4" ht="15" x14ac:dyDescent="0.25">
      <c r="A67" s="163"/>
      <c r="B67" s="161" t="s">
        <v>338</v>
      </c>
      <c r="C67" s="161"/>
      <c r="D67" s="164" t="s">
        <v>339</v>
      </c>
    </row>
  </sheetData>
  <mergeCells count="31">
    <mergeCell ref="A36:G36"/>
    <mergeCell ref="A42:G42"/>
    <mergeCell ref="A43:G43"/>
    <mergeCell ref="A50:G50"/>
    <mergeCell ref="A57:G57"/>
    <mergeCell ref="A15:G15"/>
    <mergeCell ref="R5:R7"/>
    <mergeCell ref="B6:B7"/>
    <mergeCell ref="C6:C7"/>
    <mergeCell ref="G6:G7"/>
    <mergeCell ref="H6:H7"/>
    <mergeCell ref="I6:I7"/>
    <mergeCell ref="J6:J7"/>
    <mergeCell ref="L6:L7"/>
    <mergeCell ref="M6:M7"/>
    <mergeCell ref="N6:N7"/>
    <mergeCell ref="O6:O7"/>
    <mergeCell ref="P6:P7"/>
    <mergeCell ref="Q6:Q7"/>
    <mergeCell ref="A8:G8"/>
    <mergeCell ref="A9:G9"/>
    <mergeCell ref="A1:L1"/>
    <mergeCell ref="A5:A7"/>
    <mergeCell ref="B5:C5"/>
    <mergeCell ref="D5:D7"/>
    <mergeCell ref="E5:E7"/>
    <mergeCell ref="F5:F7"/>
    <mergeCell ref="G5:H5"/>
    <mergeCell ref="I5:J5"/>
    <mergeCell ref="K5:K7"/>
    <mergeCell ref="L5:Q5"/>
  </mergeCells>
  <dataValidations count="3">
    <dataValidation type="list" allowBlank="1" showInputMessage="1" showErrorMessage="1" sqref="H44:H49 H10:H14 H16:H35 H37:H41 H51:H56 H58:H63" xr:uid="{B4C88358-A215-4ACE-AA2A-1B897334A744}">
      <formula1>"да,нет"</formula1>
    </dataValidation>
    <dataValidation type="list" allowBlank="1" showInputMessage="1" showErrorMessage="1" sqref="G37:G41 G44:G49 G10:G14 G16:G35 G51:G56 G58:G63" xr:uid="{C2A8E085-B501-4BD8-B76D-6BD84120C02B}">
      <formula1>"до 15 кВт,до 150 кВт"</formula1>
    </dataValidation>
    <dataValidation type="list" allowBlank="1" showInputMessage="1" showErrorMessage="1" sqref="F10:F14 F51:F56 F16:F35 F44:F49 F37:F41 F58:F63" xr:uid="{888E274C-411D-4A77-8C97-FC8BD2E60B93}">
      <formula1>"постоянная,временная"</formula1>
    </dataValidation>
  </dataValidations>
  <pageMargins left="0.26" right="0.17" top="0.45" bottom="0.36" header="0.16" footer="0.15"/>
  <pageSetup paperSize="9" scale="54" fitToHeight="0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Строительство</vt:lpstr>
      <vt:lpstr>Организационные</vt:lpstr>
      <vt:lpstr>Смета</vt:lpstr>
      <vt:lpstr>ЛТП_до_15_кВт_город</vt:lpstr>
      <vt:lpstr>ЛТП_до_150_кВт_город</vt:lpstr>
      <vt:lpstr>Рассрочка</vt:lpstr>
      <vt:lpstr>Реестр договоров ТП 2018-2020</vt:lpstr>
      <vt:lpstr>ЛТП_до_15_кВт_город!Заголовки_для_печати</vt:lpstr>
      <vt:lpstr>ЛТП_до_150_кВт_город!Заголовки_для_печати</vt:lpstr>
      <vt:lpstr>Смета!Заголовки_для_печати</vt:lpstr>
      <vt:lpstr>Строительство!Заголовки_для_печати</vt:lpstr>
      <vt:lpstr>ЛТП_до_15_кВт_город!Область_печати</vt:lpstr>
      <vt:lpstr>ЛТП_до_150_кВт_город!Область_печати</vt:lpstr>
      <vt:lpstr>Организационные!Область_печати</vt:lpstr>
      <vt:lpstr>Рассрочка!Область_печати</vt:lpstr>
      <vt:lpstr>'Реестр договоров ТП 2018-2020'!Область_печати</vt:lpstr>
      <vt:lpstr>Смета!Область_печати</vt:lpstr>
      <vt:lpstr>Строительство!Область_печати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Чертов Дмитрий Андреевич</dc:creator>
  <cp:lastModifiedBy>Yurisconsult</cp:lastModifiedBy>
  <cp:lastPrinted>2021-08-30T14:47:09Z</cp:lastPrinted>
  <dcterms:created xsi:type="dcterms:W3CDTF">2015-06-05T18:19:34Z</dcterms:created>
  <dcterms:modified xsi:type="dcterms:W3CDTF">2021-10-21T11:55:02Z</dcterms:modified>
</cp:coreProperties>
</file>